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1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Kitos/Pasiskirstymas pagal platintojus/Pasiskirstymas pagal platintojus 2024/"/>
    </mc:Choice>
  </mc:AlternateContent>
  <xr:revisionPtr revIDLastSave="2908" documentId="10_ncr:40000_{7AFC0398-8EB6-4086-826A-7875FB882A3F}" xr6:coauthVersionLast="47" xr6:coauthVersionMax="47" xr10:uidLastSave="{7E63C9B7-E9D5-4C0D-A88F-17D64927795C}"/>
  <bookViews>
    <workbookView xWindow="-120" yWindow="-120" windowWidth="29040" windowHeight="15840" tabRatio="876" xr2:uid="{00000000-000D-0000-FFFF-FFFF00000000}"/>
  </bookViews>
  <sheets>
    <sheet name="2024 Platintojų pasiskirstymas " sheetId="1" r:id="rId1"/>
    <sheet name="ACME Film" sheetId="2" r:id="rId2"/>
    <sheet name="Dukine Film Distribution" sheetId="3" r:id="rId3"/>
    <sheet name="Theatrical Film Distribution" sheetId="4" r:id="rId4"/>
    <sheet name=" Vabalo filmai" sheetId="22" r:id="rId5"/>
    <sheet name=" Valujavičiaus kelionės" sheetId="21" r:id="rId6"/>
    <sheet name="Cinema Ads" sheetId="24" r:id="rId7"/>
    <sheet name="Adastra Cinema" sheetId="7" r:id="rId8"/>
    <sheet name="Garsų pasaulio įrašai" sheetId="6" r:id="rId9"/>
    <sheet name="Europos kinas" sheetId="8" r:id="rId10"/>
    <sheet name="Po mokyklos" sheetId="20" r:id="rId11"/>
    <sheet name="A-One Films" sheetId="9" r:id="rId12"/>
    <sheet name="Best Film" sheetId="11" r:id="rId13"/>
    <sheet name="Travolta" sheetId="35" r:id="rId14"/>
    <sheet name="All screens" sheetId="23" r:id="rId15"/>
    <sheet name="Baltic Content Media" sheetId="14" r:id="rId16"/>
    <sheet name="Estinfilm" sheetId="12" r:id="rId17"/>
    <sheet name="Skalvijos kino centras" sheetId="13" r:id="rId18"/>
    <sheet name="Unlimited Media OÜ" sheetId="10" r:id="rId19"/>
    <sheet name="Kino pasaka" sheetId="26" r:id="rId20"/>
    <sheet name="Maobori company" sheetId="27" r:id="rId21"/>
    <sheet name="KC Garsas" sheetId="15" r:id="rId22"/>
    <sheet name="Greta Garbo Films" sheetId="25" r:id="rId23"/>
    <sheet name="Taip toliau" sheetId="34" r:id="rId24"/>
    <sheet name="Zerocopy" sheetId="36" r:id="rId25"/>
    <sheet name="Broom Films" sheetId="18" r:id="rId26"/>
    <sheet name="Mental machinery" sheetId="28" r:id="rId27"/>
    <sheet name="Špikis" sheetId="33" r:id="rId28"/>
    <sheet name="Naratyvas" sheetId="31" r:id="rId29"/>
    <sheet name="Artbox" sheetId="19" r:id="rId30"/>
    <sheet name="Monoklis" sheetId="30" r:id="rId31"/>
    <sheet name="Studio Nominum" sheetId="32" r:id="rId32"/>
    <sheet name="M-films" sheetId="29" r:id="rId33"/>
  </sheets>
  <definedNames>
    <definedName name="_xlnm._FilterDatabase" localSheetId="0" hidden="1">'2024 Platintojų pasiskirstymas '!$A$37:$G$37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71" i="1"/>
  <c r="E67" i="1"/>
  <c r="E27" i="1"/>
  <c r="E47" i="1"/>
  <c r="E8" i="1"/>
  <c r="E5" i="1" l="1"/>
  <c r="E3" i="1"/>
  <c r="E17" i="1"/>
  <c r="E57" i="1"/>
  <c r="D57" i="1"/>
  <c r="C57" i="1"/>
  <c r="D58" i="1"/>
  <c r="C58" i="1"/>
  <c r="D41" i="1"/>
  <c r="C41" i="1"/>
  <c r="E14" i="1"/>
  <c r="E13" i="1"/>
  <c r="E54" i="1"/>
  <c r="D54" i="1"/>
  <c r="C54" i="1"/>
  <c r="E52" i="1"/>
  <c r="D52" i="1"/>
  <c r="C52" i="1"/>
  <c r="E65" i="1"/>
  <c r="E64" i="1"/>
  <c r="E63" i="1"/>
  <c r="E18" i="1"/>
  <c r="E16" i="1" a="1"/>
  <c r="E16" i="1" s="1"/>
  <c r="E58" i="1"/>
  <c r="E51" i="1" a="1"/>
  <c r="E51" i="1" s="1"/>
  <c r="D51" i="1"/>
  <c r="C51" i="1"/>
  <c r="E46" i="1" a="1"/>
  <c r="E46" i="1" s="1"/>
  <c r="D46" i="1"/>
  <c r="C46" i="1"/>
  <c r="E59" i="1"/>
  <c r="D59" i="1"/>
  <c r="C59" i="1"/>
  <c r="E56" i="1" a="1"/>
  <c r="E56" i="1" s="1"/>
  <c r="D56" i="1"/>
  <c r="C56" i="1"/>
  <c r="D47" i="1"/>
  <c r="C47" i="1"/>
  <c r="D74" i="1"/>
  <c r="C74" i="1"/>
  <c r="E73" i="1" a="1"/>
  <c r="E73" i="1" s="1"/>
  <c r="D73" i="1"/>
  <c r="C73" i="1"/>
  <c r="E72" i="1" a="1"/>
  <c r="E72" i="1" s="1"/>
  <c r="D72" i="1"/>
  <c r="C72" i="1"/>
  <c r="D71" i="1"/>
  <c r="C71" i="1"/>
  <c r="E70" i="1" a="1"/>
  <c r="E70" i="1" s="1"/>
  <c r="D70" i="1"/>
  <c r="C70" i="1"/>
  <c r="E69" i="1" a="1"/>
  <c r="E69" i="1" s="1"/>
  <c r="D69" i="1"/>
  <c r="C69" i="1"/>
  <c r="E68" i="1" a="1"/>
  <c r="E68" i="1" s="1"/>
  <c r="D68" i="1"/>
  <c r="C68" i="1"/>
  <c r="D67" i="1"/>
  <c r="C67" i="1"/>
  <c r="E66" i="1" a="1"/>
  <c r="E66" i="1" s="1"/>
  <c r="D66" i="1"/>
  <c r="C66" i="1"/>
  <c r="D65" i="1"/>
  <c r="C65" i="1"/>
  <c r="D64" i="1"/>
  <c r="C64" i="1"/>
  <c r="D63" i="1"/>
  <c r="C63" i="1"/>
  <c r="E62" i="1" a="1"/>
  <c r="E62" i="1" s="1"/>
  <c r="D62" i="1"/>
  <c r="C62" i="1"/>
  <c r="D53" i="1"/>
  <c r="C53" i="1"/>
  <c r="E43" i="1"/>
  <c r="D43" i="1"/>
  <c r="C43" i="1"/>
  <c r="E50" i="1"/>
  <c r="D50" i="1"/>
  <c r="C50" i="1"/>
  <c r="E9" i="1"/>
  <c r="E48" i="1"/>
  <c r="D48" i="1"/>
  <c r="C48" i="1"/>
  <c r="E49" i="1"/>
  <c r="D49" i="1"/>
  <c r="C49" i="1"/>
  <c r="D45" i="1"/>
  <c r="C45" i="1"/>
  <c r="D44" i="1"/>
  <c r="C44" i="1"/>
  <c r="E42" i="1"/>
  <c r="D42" i="1"/>
  <c r="C42" i="1"/>
  <c r="E39" i="1"/>
  <c r="D39" i="1"/>
  <c r="C39" i="1"/>
  <c r="E40" i="1"/>
  <c r="D40" i="1"/>
  <c r="C40" i="1"/>
  <c r="E32" i="1" a="1"/>
  <c r="E32" i="1" s="1"/>
  <c r="D32" i="1"/>
  <c r="C32" i="1"/>
  <c r="E30" i="1" a="1"/>
  <c r="E30" i="1" s="1"/>
  <c r="D30" i="1"/>
  <c r="C30" i="1"/>
  <c r="E29" i="1" a="1"/>
  <c r="E29" i="1" s="1"/>
  <c r="D29" i="1"/>
  <c r="C29" i="1"/>
  <c r="E28" i="1" a="1"/>
  <c r="E28" i="1" s="1"/>
  <c r="D28" i="1"/>
  <c r="C28" i="1"/>
  <c r="E11" i="1"/>
  <c r="D11" i="1"/>
  <c r="C11" i="1"/>
  <c r="E26" i="1" a="1"/>
  <c r="E26" i="1" s="1"/>
  <c r="E20" i="1"/>
  <c r="D20" i="1"/>
  <c r="C20" i="1"/>
  <c r="E15" i="1"/>
  <c r="D15" i="1"/>
  <c r="C15" i="1"/>
  <c r="D26" i="1"/>
  <c r="C26" i="1"/>
  <c r="E4" i="36"/>
  <c r="D4" i="36"/>
  <c r="E7" i="1" a="1"/>
  <c r="E7" i="1" s="1"/>
  <c r="E6" i="1"/>
  <c r="E60" i="1"/>
  <c r="D60" i="1"/>
  <c r="C60" i="1"/>
  <c r="E55" i="1"/>
  <c r="D55" i="1"/>
  <c r="C55" i="1"/>
  <c r="E11" i="35"/>
  <c r="D11" i="35"/>
  <c r="E25" i="1"/>
  <c r="D25" i="1"/>
  <c r="C25" i="1"/>
  <c r="D8" i="34"/>
  <c r="E8" i="34"/>
  <c r="E4" i="33"/>
  <c r="D4" i="33"/>
  <c r="E33" i="1" a="1"/>
  <c r="E33" i="1" s="1"/>
  <c r="D33" i="1"/>
  <c r="C33" i="1"/>
  <c r="E4" i="32"/>
  <c r="D4" i="32"/>
  <c r="E19" i="1"/>
  <c r="D19" i="1"/>
  <c r="C19" i="1"/>
  <c r="E12" i="1" a="1"/>
  <c r="E12" i="1" s="1"/>
  <c r="D12" i="1"/>
  <c r="C12" i="1"/>
  <c r="E4" i="31"/>
  <c r="D4" i="31"/>
  <c r="E4" i="30"/>
  <c r="D4" i="30"/>
  <c r="D34" i="1"/>
  <c r="E5" i="29"/>
  <c r="D5" i="29"/>
  <c r="C34" i="1" s="1"/>
  <c r="E4" i="28"/>
  <c r="D4" i="28"/>
  <c r="E22" i="1" a="1"/>
  <c r="E22" i="1" s="1"/>
  <c r="D22" i="1"/>
  <c r="C22" i="1"/>
  <c r="E4" i="27"/>
  <c r="D4" i="27"/>
  <c r="E61" i="1"/>
  <c r="D61" i="1"/>
  <c r="C61" i="1"/>
  <c r="E6" i="26"/>
  <c r="D6" i="26"/>
  <c r="E23" i="1"/>
  <c r="D23" i="1"/>
  <c r="C23" i="1"/>
  <c r="E20" i="15"/>
  <c r="D20" i="15"/>
  <c r="E24" i="1"/>
  <c r="D24" i="1"/>
  <c r="C24" i="1"/>
  <c r="E8" i="25"/>
  <c r="D8" i="25"/>
  <c r="E10" i="1"/>
  <c r="D10" i="1"/>
  <c r="C10" i="1"/>
  <c r="E52" i="8"/>
  <c r="D52" i="8"/>
  <c r="D18" i="1"/>
  <c r="C18" i="1"/>
  <c r="D7" i="1"/>
  <c r="D16" i="1"/>
  <c r="C16" i="1"/>
  <c r="E75" i="1" l="1"/>
  <c r="D8" i="1"/>
  <c r="C8" i="1"/>
  <c r="D75" i="1"/>
  <c r="G57" i="1" s="1"/>
  <c r="C75" i="1"/>
  <c r="F57" i="1" s="1"/>
  <c r="C27" i="1"/>
  <c r="D27" i="1"/>
  <c r="D14" i="1"/>
  <c r="C14" i="1"/>
  <c r="D17" i="1"/>
  <c r="C17" i="1"/>
  <c r="E6" i="24"/>
  <c r="D6" i="24"/>
  <c r="E4" i="23"/>
  <c r="D4" i="23"/>
  <c r="D6" i="1"/>
  <c r="C6" i="1"/>
  <c r="E6" i="22"/>
  <c r="D6" i="22"/>
  <c r="C7" i="1"/>
  <c r="E4" i="21"/>
  <c r="D4" i="21"/>
  <c r="E4" i="20"/>
  <c r="D4" i="20"/>
  <c r="D31" i="1"/>
  <c r="C31" i="1"/>
  <c r="E5" i="19"/>
  <c r="D5" i="19"/>
  <c r="E7" i="18"/>
  <c r="D7" i="18"/>
  <c r="D13" i="1"/>
  <c r="C13" i="1"/>
  <c r="E24" i="9"/>
  <c r="D24" i="9"/>
  <c r="G54" i="1" l="1"/>
  <c r="G52" i="1"/>
  <c r="F54" i="1"/>
  <c r="F52" i="1"/>
  <c r="F51" i="1"/>
  <c r="F58" i="1"/>
  <c r="G51" i="1"/>
  <c r="G58" i="1"/>
  <c r="F46" i="1"/>
  <c r="G46" i="1"/>
  <c r="D9" i="1"/>
  <c r="C9" i="1"/>
  <c r="D5" i="1" l="1"/>
  <c r="C5" i="1"/>
  <c r="G31" i="4"/>
  <c r="F31" i="4"/>
  <c r="E31" i="4"/>
  <c r="D31" i="4"/>
  <c r="D4" i="1" l="1"/>
  <c r="C4" i="1"/>
  <c r="G37" i="3"/>
  <c r="F37" i="3"/>
  <c r="E37" i="3"/>
  <c r="D37" i="3"/>
  <c r="E35" i="1"/>
  <c r="D3" i="1"/>
  <c r="C3" i="1"/>
  <c r="I90" i="2"/>
  <c r="H90" i="2"/>
  <c r="C35" i="1" l="1"/>
  <c r="D35" i="1"/>
  <c r="G34" i="1" s="1"/>
  <c r="F3" i="1" l="1"/>
  <c r="F34" i="1"/>
  <c r="E9" i="14"/>
  <c r="D9" i="14"/>
  <c r="E19" i="13"/>
  <c r="D19" i="13"/>
  <c r="E23" i="12"/>
  <c r="D23" i="12"/>
  <c r="E19" i="11"/>
  <c r="D19" i="11"/>
  <c r="E11" i="10" l="1"/>
  <c r="D11" i="10"/>
  <c r="E26" i="7" l="1"/>
  <c r="D26" i="7"/>
  <c r="E28" i="6"/>
  <c r="D28" i="6"/>
  <c r="G90" i="2"/>
  <c r="F90" i="2"/>
  <c r="E90" i="2"/>
  <c r="D90" i="2"/>
  <c r="D93" i="2" l="1"/>
  <c r="E93" i="2"/>
  <c r="E40" i="3"/>
  <c r="D40" i="3"/>
  <c r="G29" i="1" l="1"/>
  <c r="G26" i="1"/>
  <c r="G28" i="1"/>
  <c r="G30" i="1"/>
  <c r="F29" i="1"/>
  <c r="F26" i="1"/>
  <c r="F30" i="1"/>
  <c r="F28" i="1"/>
  <c r="E34" i="4"/>
  <c r="D34" i="4"/>
  <c r="F41" i="1" l="1"/>
  <c r="F4" i="1" l="1"/>
  <c r="F12" i="1"/>
  <c r="F11" i="1"/>
  <c r="F8" i="1"/>
  <c r="F31" i="1"/>
  <c r="F5" i="1"/>
  <c r="F6" i="1"/>
  <c r="F24" i="1"/>
  <c r="F22" i="1"/>
  <c r="F33" i="1"/>
  <c r="F25" i="1"/>
  <c r="F16" i="1"/>
  <c r="F13" i="1"/>
  <c r="F10" i="1"/>
  <c r="F27" i="1"/>
  <c r="F18" i="1"/>
  <c r="F19" i="1"/>
  <c r="F7" i="1"/>
  <c r="F14" i="1"/>
  <c r="F15" i="1"/>
  <c r="F17" i="1"/>
  <c r="F32" i="1"/>
  <c r="F23" i="1"/>
  <c r="F9" i="1"/>
  <c r="F20" i="1"/>
  <c r="F21" i="1"/>
  <c r="G42" i="1"/>
  <c r="F42" i="1"/>
  <c r="G45" i="1"/>
  <c r="G69" i="1"/>
  <c r="G50" i="1"/>
  <c r="G56" i="1"/>
  <c r="G65" i="1"/>
  <c r="G72" i="1"/>
  <c r="G48" i="1"/>
  <c r="G67" i="1"/>
  <c r="G73" i="1"/>
  <c r="G39" i="1"/>
  <c r="G49" i="1"/>
  <c r="G62" i="1"/>
  <c r="G68" i="1"/>
  <c r="G44" i="1"/>
  <c r="G64" i="1"/>
  <c r="G59" i="1"/>
  <c r="G55" i="1"/>
  <c r="F73" i="1"/>
  <c r="F48" i="1"/>
  <c r="F65" i="1"/>
  <c r="F40" i="1"/>
  <c r="F62" i="1"/>
  <c r="F67" i="1"/>
  <c r="F39" i="1"/>
  <c r="F53" i="1"/>
  <c r="F70" i="1"/>
  <c r="F74" i="1"/>
  <c r="G53" i="1"/>
  <c r="F49" i="1"/>
  <c r="G63" i="1"/>
  <c r="G60" i="1"/>
  <c r="F68" i="1"/>
  <c r="G70" i="1"/>
  <c r="F47" i="1"/>
  <c r="G74" i="1"/>
  <c r="F55" i="1"/>
  <c r="F63" i="1"/>
  <c r="F66" i="1"/>
  <c r="F71" i="1"/>
  <c r="G47" i="1"/>
  <c r="G41" i="1"/>
  <c r="F44" i="1"/>
  <c r="G43" i="1"/>
  <c r="F56" i="1"/>
  <c r="G66" i="1"/>
  <c r="F59" i="1"/>
  <c r="G71" i="1"/>
  <c r="G61" i="1"/>
  <c r="G40" i="1"/>
  <c r="F45" i="1"/>
  <c r="F50" i="1"/>
  <c r="F43" i="1"/>
  <c r="F64" i="1"/>
  <c r="F60" i="1"/>
  <c r="F69" i="1"/>
  <c r="F72" i="1"/>
  <c r="F61" i="1"/>
  <c r="F35" i="1" l="1"/>
  <c r="G75" i="1"/>
  <c r="F75" i="1"/>
  <c r="G22" i="1" l="1"/>
  <c r="G33" i="1" l="1"/>
  <c r="G7" i="1"/>
  <c r="G8" i="1"/>
  <c r="G20" i="1"/>
  <c r="G18" i="1"/>
  <c r="G27" i="1"/>
  <c r="G3" i="1"/>
  <c r="G13" i="1"/>
  <c r="G6" i="1"/>
  <c r="G11" i="1"/>
  <c r="G16" i="1"/>
  <c r="G9" i="1"/>
  <c r="G5" i="1"/>
  <c r="G24" i="1"/>
  <c r="G17" i="1"/>
  <c r="G15" i="1"/>
  <c r="G19" i="1"/>
  <c r="G32" i="1"/>
  <c r="G23" i="1"/>
  <c r="G4" i="1"/>
  <c r="G14" i="1"/>
  <c r="G25" i="1"/>
  <c r="G12" i="1"/>
  <c r="G21" i="1"/>
  <c r="G10" i="1"/>
  <c r="G31" i="1"/>
  <c r="G3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<sst xmlns="http://schemas.openxmlformats.org/spreadsheetml/2006/main" count="1181" uniqueCount="825">
  <si>
    <t>Kino platinimo kompanija</t>
  </si>
  <si>
    <t>Žiūrovų skaičius</t>
  </si>
  <si>
    <t>Filmų kiekis</t>
  </si>
  <si>
    <t xml:space="preserve">Pajamos (Procentinė išraiška) </t>
  </si>
  <si>
    <t xml:space="preserve">Žiūrovai (Procentinė išraiška) </t>
  </si>
  <si>
    <t>Eil. Nr.</t>
  </si>
  <si>
    <t>ACME Film</t>
  </si>
  <si>
    <t> Maobori production</t>
  </si>
  <si>
    <t>Adastra Cinema</t>
  </si>
  <si>
    <t>All screens</t>
  </si>
  <si>
    <t>A-One Films</t>
  </si>
  <si>
    <t>Artbox</t>
  </si>
  <si>
    <t>Baltic Content Media</t>
  </si>
  <si>
    <t>Best Film</t>
  </si>
  <si>
    <t>Broom Films</t>
  </si>
  <si>
    <t>Cinema Ads</t>
  </si>
  <si>
    <t>Dukine Film Distribution</t>
  </si>
  <si>
    <t>Estinfilm</t>
  </si>
  <si>
    <t>Europos kinas</t>
  </si>
  <si>
    <t xml:space="preserve">Pajamos  </t>
  </si>
  <si>
    <t>Garsų pasaulio įrašai</t>
  </si>
  <si>
    <t>Greta Garbo Films</t>
  </si>
  <si>
    <t>KC Garsas</t>
  </si>
  <si>
    <t>Kino pasaka</t>
  </si>
  <si>
    <t>Monoklis</t>
  </si>
  <si>
    <t>Po mokyklos</t>
  </si>
  <si>
    <t>Skalvijos kino centras</t>
  </si>
  <si>
    <t>Studio Nominum</t>
  </si>
  <si>
    <t>Theatrical Film Distribution</t>
  </si>
  <si>
    <t>Travolta</t>
  </si>
  <si>
    <t>Taip toliau</t>
  </si>
  <si>
    <t>Unlimited Media OÜ</t>
  </si>
  <si>
    <t>Vabalo filmai</t>
  </si>
  <si>
    <t>TOTAL</t>
  </si>
  <si>
    <t xml:space="preserve"> </t>
  </si>
  <si>
    <t>ACME Film (Independent)</t>
  </si>
  <si>
    <t>ACME Film (SONY)</t>
  </si>
  <si>
    <t>ACME Film (Warner Bros.)</t>
  </si>
  <si>
    <t>Dukine Film Distribution (Paramount Pictures)</t>
  </si>
  <si>
    <t>Dukine Film Distribution (Universal Pictures)</t>
  </si>
  <si>
    <t>Theatrical Film Distribution (Walt Disney Studios Motion Pictures International)</t>
  </si>
  <si>
    <t>Filmo pavadinimas</t>
  </si>
  <si>
    <t>Premjeros data</t>
  </si>
  <si>
    <t>SONY 
Pajamos</t>
  </si>
  <si>
    <t>SONY
Žiūrovai</t>
  </si>
  <si>
    <t>Independent
Pajamos</t>
  </si>
  <si>
    <t>Independent 
Žiūrovai</t>
  </si>
  <si>
    <t>Pajamos</t>
  </si>
  <si>
    <t>Žiūrovai</t>
  </si>
  <si>
    <t>Warner Bros.
Pajamos</t>
  </si>
  <si>
    <t>Preview</t>
  </si>
  <si>
    <t>Universal Pictures
Pajamos</t>
  </si>
  <si>
    <t>Universal Pictures
Žiūrovai</t>
  </si>
  <si>
    <t>Warner Bros.
Žiūrovai</t>
  </si>
  <si>
    <t>WDSMPI
Pajamos</t>
  </si>
  <si>
    <t>WDSMPI
Žiūrovai</t>
  </si>
  <si>
    <t xml:space="preserve">TOTAL (WDSMPI+Independent)
</t>
  </si>
  <si>
    <t xml:space="preserve"> Vabalo filmai</t>
  </si>
  <si>
    <t>Milijonieriaus palikimas</t>
  </si>
  <si>
    <t>Čiulbanti siela</t>
  </si>
  <si>
    <t>Samsara</t>
  </si>
  <si>
    <t>Sielų aukcionas. Neįtikėtina Auroros Mardiganian istorija</t>
  </si>
  <si>
    <t>Homo Sovieticus</t>
  </si>
  <si>
    <t xml:space="preserve">
Pajamos</t>
  </si>
  <si>
    <t>Paramount Pictures 
Pajamos</t>
  </si>
  <si>
    <t>Paramount Pictures 
Žiūrovai</t>
  </si>
  <si>
    <t xml:space="preserve"> 
Žiūrovai</t>
  </si>
  <si>
    <t xml:space="preserve">TOTAL (Universal Pictures+Paramount Pictures)
</t>
  </si>
  <si>
    <t>TOTAL 
(Warner Bros. +Independent+SONY)</t>
  </si>
  <si>
    <t>Tu man nieko neprimeni</t>
  </si>
  <si>
    <t>Drugelio Širdis</t>
  </si>
  <si>
    <t xml:space="preserve">2024 m. Kino platinimo kompanijų pasiskirstymas Lietuvos rinkoje </t>
  </si>
  <si>
    <t>Valujavičiaus kelionės</t>
  </si>
  <si>
    <t>Mental machinery</t>
  </si>
  <si>
    <t>2024 m. Kino platinimo kompanijų pasiskirstymas Lietuvos rinkoje (pagal atstovaujamus užsienio šalių partnerius)</t>
  </si>
  <si>
    <t>Filmo pavadinimas 
originalo kalba</t>
  </si>
  <si>
    <t xml:space="preserve">Mes dedame tašką </t>
  </si>
  <si>
    <t>It Ends With Us</t>
  </si>
  <si>
    <t xml:space="preserve">Kopa: antra dalis </t>
  </si>
  <si>
    <t>Dune: Part II</t>
  </si>
  <si>
    <t xml:space="preserve">Garfildas  </t>
  </si>
  <si>
    <t>The Garfield Movie</t>
  </si>
  <si>
    <t>Venomas 3</t>
  </si>
  <si>
    <t>Venom: The Last Dance</t>
  </si>
  <si>
    <t>10 katino gyvenimų</t>
  </si>
  <si>
    <t>10 Lives</t>
  </si>
  <si>
    <t xml:space="preserve">Vonka </t>
  </si>
  <si>
    <t>Wonka</t>
  </si>
  <si>
    <t>Džokeris: Folie A Deux</t>
  </si>
  <si>
    <t>Joker: Folie a Deux</t>
  </si>
  <si>
    <t xml:space="preserve">Pašėlę vyrukai: viskas arba nieko  </t>
  </si>
  <si>
    <t>Bad Boys: Ride Or Die</t>
  </si>
  <si>
    <t>Beetlejuice Beetlejuice</t>
  </si>
  <si>
    <t>Godzila ir kongas: Nauja imperija</t>
  </si>
  <si>
    <t>Godzilla x Kong: The New Empire</t>
  </si>
  <si>
    <t xml:space="preserve">Sielų kolekcionierius </t>
  </si>
  <si>
    <t>Longlegs</t>
  </si>
  <si>
    <t xml:space="preserve">Kodas raudonas  </t>
  </si>
  <si>
    <t>Red One</t>
  </si>
  <si>
    <t xml:space="preserve">Bitininkas  </t>
  </si>
  <si>
    <t>Beekeeper</t>
  </si>
  <si>
    <t xml:space="preserve">Tik ne tu  </t>
  </si>
  <si>
    <t>Anyone But You</t>
  </si>
  <si>
    <t>Ema ir juodasis jaguaras</t>
  </si>
  <si>
    <t>Le Dernier Jaguar</t>
  </si>
  <si>
    <t>Ferrari</t>
  </si>
  <si>
    <t xml:space="preserve">Madam Clicquot  </t>
  </si>
  <si>
    <t>Widow Clicquot</t>
  </si>
  <si>
    <t>Furioza: Pašėlusio Makso saga</t>
  </si>
  <si>
    <t>Furiosa: A Mad Max Saga</t>
  </si>
  <si>
    <t xml:space="preserve">Mirties korta  </t>
  </si>
  <si>
    <t>Tarot</t>
  </si>
  <si>
    <t xml:space="preserve">Nedžentelmeniško karo ministerija </t>
  </si>
  <si>
    <t>The Ministry of Ungentlemanly Warfare</t>
  </si>
  <si>
    <t xml:space="preserve">Tornadų medžiotojai  </t>
  </si>
  <si>
    <t>Twisters</t>
  </si>
  <si>
    <t xml:space="preserve">Varžovai  </t>
  </si>
  <si>
    <t>Challengers</t>
  </si>
  <si>
    <t xml:space="preserve">Vaiduoklių medžiotojai: sustingę iš baimės  </t>
  </si>
  <si>
    <t>Ghostbusters Frozen Empire</t>
  </si>
  <si>
    <t xml:space="preserve">Akvamenas 2: Prarasta karalystė  </t>
  </si>
  <si>
    <t>Aquaman and The Lost Kingdom</t>
  </si>
  <si>
    <t>Napoleonas</t>
  </si>
  <si>
    <t>Napoleon</t>
  </si>
  <si>
    <t>Gardutė</t>
  </si>
  <si>
    <t xml:space="preserve">Šuo ir katė. Pabėgimas </t>
  </si>
  <si>
    <t>Chien et Chat</t>
  </si>
  <si>
    <t>200% Vilkas</t>
  </si>
  <si>
    <t>200% Wolf</t>
  </si>
  <si>
    <t xml:space="preserve">Nekaltoji  </t>
  </si>
  <si>
    <t>Immaculate</t>
  </si>
  <si>
    <t>Nutrūktgalviai: Don Kichoto pėdsakais</t>
  </si>
  <si>
    <t>Giants of La Mancha</t>
  </si>
  <si>
    <t xml:space="preserve">Šuo kuris keliavo traukiniu  </t>
  </si>
  <si>
    <t>Lampo The Travelling Dog</t>
  </si>
  <si>
    <t xml:space="preserve">Stebėtojai  </t>
  </si>
  <si>
    <t>The Watchers</t>
  </si>
  <si>
    <t>Tiesos kadras</t>
  </si>
  <si>
    <t>Lee</t>
  </si>
  <si>
    <t xml:space="preserve">Duok ženklą </t>
  </si>
  <si>
    <t>Blink Twice</t>
  </si>
  <si>
    <t xml:space="preserve">Mano šuo Artūras </t>
  </si>
  <si>
    <t>Arthur the King</t>
  </si>
  <si>
    <t xml:space="preserve">Kosminiai draugai </t>
  </si>
  <si>
    <t>Headspace</t>
  </si>
  <si>
    <t>Už gretimų durų</t>
  </si>
  <si>
    <t>Room Next Door</t>
  </si>
  <si>
    <t xml:space="preserve">Lapių kelionė ledynuose </t>
  </si>
  <si>
    <t>Kina and Yuk</t>
  </si>
  <si>
    <t>Nematomas draugas</t>
  </si>
  <si>
    <t>Imaginary</t>
  </si>
  <si>
    <t>Medžiotojas Kreivenas</t>
  </si>
  <si>
    <t>Kraven the Hunter</t>
  </si>
  <si>
    <t>Nuskraidink mane į mėnulį</t>
  </si>
  <si>
    <t>Fly Me to the Moon</t>
  </si>
  <si>
    <t xml:space="preserve">Borderlands: paslaptinga relikvija </t>
  </si>
  <si>
    <t>Borderlands</t>
  </si>
  <si>
    <t xml:space="preserve">Viena gyvybė </t>
  </si>
  <si>
    <t>One Life</t>
  </si>
  <si>
    <t>Madam Web</t>
  </si>
  <si>
    <t>Madame Web</t>
  </si>
  <si>
    <t>Haroldas ir magiškoji kreidelė</t>
  </si>
  <si>
    <t>Harold &amp; The Purple Crayon</t>
  </si>
  <si>
    <t>Praeities šešėlis</t>
  </si>
  <si>
    <t>May December</t>
  </si>
  <si>
    <t xml:space="preserve">Keistuolė Betė  </t>
  </si>
  <si>
    <t>My Freaky Family</t>
  </si>
  <si>
    <t>Nepažįstamieji: pirma dalis</t>
  </si>
  <si>
    <t>Strangers: Chapter One</t>
  </si>
  <si>
    <t xml:space="preserve">Niekada nepaleisk </t>
  </si>
  <si>
    <t>Never Let Go</t>
  </si>
  <si>
    <t>Varnas</t>
  </si>
  <si>
    <t>The Crow</t>
  </si>
  <si>
    <t xml:space="preserve">Baltoji paukštė </t>
  </si>
  <si>
    <t>White Bird a Wonder Story</t>
  </si>
  <si>
    <t>Kopa</t>
  </si>
  <si>
    <t>Dune</t>
  </si>
  <si>
    <t>Bagman: šeimos prakeiksmas</t>
  </si>
  <si>
    <t>Bagman</t>
  </si>
  <si>
    <t>Numylėtinė</t>
  </si>
  <si>
    <t>Miller's Girl</t>
  </si>
  <si>
    <t>Mūza</t>
  </si>
  <si>
    <t xml:space="preserve">Bado žaidynės: Sakmė apie strazdą ir gyvatę </t>
  </si>
  <si>
    <t>Hunger Games: The Ballad of Songbirds and Snakes</t>
  </si>
  <si>
    <t xml:space="preserve">Naktis su žudiku  </t>
  </si>
  <si>
    <t>Strange Darling</t>
  </si>
  <si>
    <t xml:space="preserve">Diplodokas </t>
  </si>
  <si>
    <t>Diplodocus</t>
  </si>
  <si>
    <t>Fantastinių gyvūnų legenda</t>
  </si>
  <si>
    <t>Zak &amp; Wowo, la légende de Lendarys</t>
  </si>
  <si>
    <t xml:space="preserve">Žiedų valdovas: Rohirimų karas </t>
  </si>
  <si>
    <t>Lord of the Rings: The War of the Rohirrim</t>
  </si>
  <si>
    <t>Baimė</t>
  </si>
  <si>
    <t xml:space="preserve">Afraid  </t>
  </si>
  <si>
    <t xml:space="preserve">Dryžių sergėtojas  </t>
  </si>
  <si>
    <t>Extinction</t>
  </si>
  <si>
    <t>Mokinys</t>
  </si>
  <si>
    <t>Apprentice</t>
  </si>
  <si>
    <t>Gurmaniška aistra</t>
  </si>
  <si>
    <t>Pot au Feu de Dodin Bouffant</t>
  </si>
  <si>
    <t>Paskutinė užduotis</t>
  </si>
  <si>
    <t>Knox goes away</t>
  </si>
  <si>
    <t xml:space="preserve">Misija Titanas  </t>
  </si>
  <si>
    <t>Slingshot</t>
  </si>
  <si>
    <t>Mūsų tėtis</t>
  </si>
  <si>
    <t>Goodrich</t>
  </si>
  <si>
    <t xml:space="preserve">Padėkos diena </t>
  </si>
  <si>
    <t>Thanksgiving</t>
  </si>
  <si>
    <t xml:space="preserve">Milli Vanilli </t>
  </si>
  <si>
    <t>Girl You Know It's True</t>
  </si>
  <si>
    <t>Poetas</t>
  </si>
  <si>
    <t>Kalifornijos svajos</t>
  </si>
  <si>
    <t>La La Land</t>
  </si>
  <si>
    <t>Tigro kelionė Himalajuose</t>
  </si>
  <si>
    <t>Tigers Nest</t>
  </si>
  <si>
    <t>Džiunglių būrys 2</t>
  </si>
  <si>
    <t xml:space="preserve">Jungle Bunch 2 </t>
  </si>
  <si>
    <t>Mavka Forest Song</t>
  </si>
  <si>
    <t xml:space="preserve">Stebuklingoji boružėlė ir juodasis katinas  </t>
  </si>
  <si>
    <t>Ladybug &amp; Cat Noir: The Awakening</t>
  </si>
  <si>
    <t>Fabelmanai</t>
  </si>
  <si>
    <t>The Fabelmans</t>
  </si>
  <si>
    <t xml:space="preserve">Mano mažasis karalius  </t>
  </si>
  <si>
    <t>King</t>
  </si>
  <si>
    <t xml:space="preserve">Barbė </t>
  </si>
  <si>
    <t>Barbie</t>
  </si>
  <si>
    <t>Žmogus-voras: Aplink multivisatą</t>
  </si>
  <si>
    <t>Spiderman Across the Spiderverse</t>
  </si>
  <si>
    <t>Tarp pilkų debesų</t>
  </si>
  <si>
    <t xml:space="preserve">Ashes in the Snow </t>
  </si>
  <si>
    <t>Williams metodas</t>
  </si>
  <si>
    <t>King Richard</t>
  </si>
  <si>
    <t>9-as žingsnis</t>
  </si>
  <si>
    <t>Sūnus</t>
  </si>
  <si>
    <t>Son</t>
  </si>
  <si>
    <t>Benas grįžo į namus</t>
  </si>
  <si>
    <t>Ben is Back</t>
  </si>
  <si>
    <t xml:space="preserve">Mažasis princas  </t>
  </si>
  <si>
    <t>Little prince</t>
  </si>
  <si>
    <t xml:space="preserve">Lilas, Lilas, Krokodilas </t>
  </si>
  <si>
    <t>Lyle Lyle Crocodile</t>
  </si>
  <si>
    <t xml:space="preserve"> 2024-07-19</t>
  </si>
  <si>
    <t xml:space="preserve">Bjaurusis aš 4 </t>
  </si>
  <si>
    <t>Despicable Me 4</t>
  </si>
  <si>
    <t>Kung Fu Panda 4</t>
  </si>
  <si>
    <t xml:space="preserve">Didžioji ančių kelionė  </t>
  </si>
  <si>
    <t>Migration</t>
  </si>
  <si>
    <t xml:space="preserve">Laukinukė Roz </t>
  </si>
  <si>
    <t>Wild Robot</t>
  </si>
  <si>
    <t xml:space="preserve">Piktoji  </t>
  </si>
  <si>
    <t>Wicked</t>
  </si>
  <si>
    <t xml:space="preserve">Kaskadininkas  </t>
  </si>
  <si>
    <t>The Fall Guy</t>
  </si>
  <si>
    <t>Back To Black</t>
  </si>
  <si>
    <t xml:space="preserve">Nekalbėk apie blogį  </t>
  </si>
  <si>
    <t>Speak No Evil</t>
  </si>
  <si>
    <t xml:space="preserve">Argailas  </t>
  </si>
  <si>
    <t>Argylle</t>
  </si>
  <si>
    <t xml:space="preserve">Abigailė  </t>
  </si>
  <si>
    <t>Abigail</t>
  </si>
  <si>
    <t xml:space="preserve">Šešėlių vanduo  </t>
  </si>
  <si>
    <t>Night Swim</t>
  </si>
  <si>
    <t xml:space="preserve">Baikeriai  </t>
  </si>
  <si>
    <t>Bikeriders</t>
  </si>
  <si>
    <t>MaXXXine</t>
  </si>
  <si>
    <t xml:space="preserve">Batuotas katinas Pūkis: paskutinis noras  </t>
  </si>
  <si>
    <t>Puss in Boots: The Last Wish</t>
  </si>
  <si>
    <t xml:space="preserve">Broliai Super Mario. Filmas </t>
  </si>
  <si>
    <t>Super Mario Bros.</t>
  </si>
  <si>
    <t xml:space="preserve">Svajonių atostogos </t>
  </si>
  <si>
    <t>The Holdovers</t>
  </si>
  <si>
    <t xml:space="preserve">Openheimeris  </t>
  </si>
  <si>
    <t>Oppenheimer</t>
  </si>
  <si>
    <t>Penkios naktys pas Fredį</t>
  </si>
  <si>
    <t>Five Nights at Freddy's</t>
  </si>
  <si>
    <t xml:space="preserve">Egzorcistas: tikintysis </t>
  </si>
  <si>
    <t>The Exorcist: Believer</t>
  </si>
  <si>
    <t xml:space="preserve">Blogiukai </t>
  </si>
  <si>
    <t>The Bad Guys</t>
  </si>
  <si>
    <t xml:space="preserve">Pakalikai 2 </t>
  </si>
  <si>
    <t>Minions: The Rise of Gru</t>
  </si>
  <si>
    <t>Troliai 3</t>
  </si>
  <si>
    <t>Trolls Band Together</t>
  </si>
  <si>
    <t>Pakalikai</t>
  </si>
  <si>
    <t>Minions</t>
  </si>
  <si>
    <t xml:space="preserve">Gladiatorius 2  </t>
  </si>
  <si>
    <t>Gladiator 2</t>
  </si>
  <si>
    <t xml:space="preserve">Ežiukas Sonic 3  </t>
  </si>
  <si>
    <t>Sonic the Hedgehog 3</t>
  </si>
  <si>
    <t>Tylos zona. Pirmoji diena</t>
  </si>
  <si>
    <t>A Quiet Place: Day One</t>
  </si>
  <si>
    <t xml:space="preserve">Šypsena 2 </t>
  </si>
  <si>
    <t>Smile 2</t>
  </si>
  <si>
    <t>Nematomi draugai</t>
  </si>
  <si>
    <t>IF: Imaginary Friends</t>
  </si>
  <si>
    <t>Bob Marley: One Love</t>
  </si>
  <si>
    <t xml:space="preserve">Transformeriai. Pradžia </t>
  </si>
  <si>
    <t>Transformers One</t>
  </si>
  <si>
    <t xml:space="preserve">Šunyčiai patruliai 2. Galingas filmas </t>
  </si>
  <si>
    <t>PAW Patrol: The Mighty Movie</t>
  </si>
  <si>
    <t>Gėlių mėnulio žudikai</t>
  </si>
  <si>
    <t>Killers of the Flower Moon</t>
  </si>
  <si>
    <t xml:space="preserve">Ežiukas Sonic 2 </t>
  </si>
  <si>
    <t>Sonic The Hedgehog 2</t>
  </si>
  <si>
    <t>Dičkis šuo Klifordas</t>
  </si>
  <si>
    <t>Clifford The Big Red Dog</t>
  </si>
  <si>
    <t>M-Films</t>
  </si>
  <si>
    <t>Naratyvas</t>
  </si>
  <si>
    <t>Špikis</t>
  </si>
  <si>
    <t>Zero Copy</t>
  </si>
  <si>
    <t xml:space="preserve">Išvirkščias pasaulis 2  </t>
  </si>
  <si>
    <t>Inside Out 2</t>
  </si>
  <si>
    <t xml:space="preserve">Vajana 2 </t>
  </si>
  <si>
    <t>Moana 2</t>
  </si>
  <si>
    <t xml:space="preserve">Deadpool ir Ernis  </t>
  </si>
  <si>
    <t>Deadpool &amp; Wolverine</t>
  </si>
  <si>
    <t xml:space="preserve">Prasti reikalai  </t>
  </si>
  <si>
    <t>Poor Things</t>
  </si>
  <si>
    <t xml:space="preserve">Mufasa. Liūtas karalius  </t>
  </si>
  <si>
    <t>Mufasa: The Lion King</t>
  </si>
  <si>
    <t xml:space="preserve">Svetimas: Romulas  </t>
  </si>
  <si>
    <t>Alien: Romulus</t>
  </si>
  <si>
    <t xml:space="preserve">Beždžionių planetos karalystė  </t>
  </si>
  <si>
    <t xml:space="preserve">Kingdom of the Planet of the Apes </t>
  </si>
  <si>
    <t xml:space="preserve">Noras  </t>
  </si>
  <si>
    <t>Wish</t>
  </si>
  <si>
    <t xml:space="preserve">Malonės rūšys </t>
  </si>
  <si>
    <t>Kinds of Kindness</t>
  </si>
  <si>
    <t xml:space="preserve">Pirmasis ženklas </t>
  </si>
  <si>
    <t>The First Omen</t>
  </si>
  <si>
    <t>Tikslas – įvartis</t>
  </si>
  <si>
    <t>Next Goal Wins</t>
  </si>
  <si>
    <t xml:space="preserve">Lukas </t>
  </si>
  <si>
    <t>Luca</t>
  </si>
  <si>
    <t xml:space="preserve">Visi mes svetimi  </t>
  </si>
  <si>
    <t>All of Us Strangers</t>
  </si>
  <si>
    <t xml:space="preserve">Undinėlė  </t>
  </si>
  <si>
    <t>Little Mermaid</t>
  </si>
  <si>
    <t xml:space="preserve"> 2024-12-20</t>
  </si>
  <si>
    <t xml:space="preserve">Pilietinis karas  </t>
  </si>
  <si>
    <t>Civil War</t>
  </si>
  <si>
    <t xml:space="preserve">Keliantis siaubą 3 </t>
  </si>
  <si>
    <t>Terrifier 3</t>
  </si>
  <si>
    <t xml:space="preserve">Grafas Montekristas </t>
  </si>
  <si>
    <t>The Count of Monte-Cristo</t>
  </si>
  <si>
    <t xml:space="preserve">Trys muškietininkai: Miledi  </t>
  </si>
  <si>
    <t>The Three Musketeers: Milady</t>
  </si>
  <si>
    <t xml:space="preserve">Žvėriška prigimtis </t>
  </si>
  <si>
    <t>In A Violent Nature</t>
  </si>
  <si>
    <t xml:space="preserve">Dogmenas </t>
  </si>
  <si>
    <t>DogMan</t>
  </si>
  <si>
    <t xml:space="preserve">Šventųjų ir nusidėjėlių žemėje  </t>
  </si>
  <si>
    <t>In the Land of Saints and Sinners</t>
  </si>
  <si>
    <t xml:space="preserve">Juodoji kanarėlė  </t>
  </si>
  <si>
    <t>Canary Black</t>
  </si>
  <si>
    <t>Bolero</t>
  </si>
  <si>
    <t xml:space="preserve">Banginis  </t>
  </si>
  <si>
    <t>The Whale</t>
  </si>
  <si>
    <t xml:space="preserve">Laisvės garsas  </t>
  </si>
  <si>
    <t>Sound of Freedom</t>
  </si>
  <si>
    <t>Blur: To The End</t>
  </si>
  <si>
    <t>Ypatingieji</t>
  </si>
  <si>
    <t xml:space="preserve">Hors normes </t>
  </si>
  <si>
    <t xml:space="preserve">Katytė ir aš  </t>
  </si>
  <si>
    <t>Cat's Life</t>
  </si>
  <si>
    <t>Sesės</t>
  </si>
  <si>
    <t>Column1</t>
  </si>
  <si>
    <t xml:space="preserve">Substancija </t>
  </si>
  <si>
    <t>The Substance</t>
  </si>
  <si>
    <t xml:space="preserve">Drakonų sergėtoja  </t>
  </si>
  <si>
    <t>Dragonkeeper</t>
  </si>
  <si>
    <t xml:space="preserve">Laikas gyventi </t>
  </si>
  <si>
    <t>We Live in Time</t>
  </si>
  <si>
    <t xml:space="preserve">Eretikas  </t>
  </si>
  <si>
    <t>Heretic</t>
  </si>
  <si>
    <t>Sparnuoti herojai</t>
  </si>
  <si>
    <t>Super Wings the Movie: Maximum Speed</t>
  </si>
  <si>
    <t xml:space="preserve">Ozi. Miško balsas  </t>
  </si>
  <si>
    <t>Ozi: Voice Of The Forest</t>
  </si>
  <si>
    <t xml:space="preserve">Afrika Pandastika </t>
  </si>
  <si>
    <t>Panda Bear in Africa</t>
  </si>
  <si>
    <t xml:space="preserve">Maišagalvė  </t>
  </si>
  <si>
    <t>Baghead</t>
  </si>
  <si>
    <t xml:space="preserve">Parko stebuklai </t>
  </si>
  <si>
    <t>The Inseparables</t>
  </si>
  <si>
    <t>Karalienės žaidimas</t>
  </si>
  <si>
    <t>Firebrand</t>
  </si>
  <si>
    <t>Monkey Man</t>
  </si>
  <si>
    <t xml:space="preserve">Aš ir jis. Tikros vestuvės </t>
  </si>
  <si>
    <t>Beautiful Wedding</t>
  </si>
  <si>
    <t xml:space="preserve">Motinos instinktas </t>
  </si>
  <si>
    <t>Mothers‘ instinct</t>
  </si>
  <si>
    <t xml:space="preserve">Kauliuko metimas  </t>
  </si>
  <si>
    <t>Breaking point</t>
  </si>
  <si>
    <t xml:space="preserve">Šiaurietiški patogumai </t>
  </si>
  <si>
    <t>Northern Comfort</t>
  </si>
  <si>
    <t>Megalopolis</t>
  </si>
  <si>
    <t xml:space="preserve">Mažylis Nikolia pasakoja apie laimę </t>
  </si>
  <si>
    <t xml:space="preserve">Petit Nicolas: Qu'est-Ce Qu'on Attend Pour Être Heureux? </t>
  </si>
  <si>
    <t xml:space="preserve">Miauricijus Puikusis </t>
  </si>
  <si>
    <t>Amazing Maurice</t>
  </si>
  <si>
    <t xml:space="preserve">Petsi Iš Argo  </t>
  </si>
  <si>
    <t>Argonuts</t>
  </si>
  <si>
    <t xml:space="preserve">Greiti ir pūkuoti </t>
  </si>
  <si>
    <t>Rally Road Racers</t>
  </si>
  <si>
    <t>Detektyvas Sanis</t>
  </si>
  <si>
    <t>Inspector Sun and the curse of the black widow</t>
  </si>
  <si>
    <t>Tiesiog sėkmė</t>
  </si>
  <si>
    <t>Coup de chance</t>
  </si>
  <si>
    <t xml:space="preserve">Suspirija  </t>
  </si>
  <si>
    <t>Suspiria</t>
  </si>
  <si>
    <t>Tikri farai</t>
  </si>
  <si>
    <t>Puikios dienos</t>
  </si>
  <si>
    <t>Perfect days</t>
  </si>
  <si>
    <t xml:space="preserve">Partenopė </t>
  </si>
  <si>
    <t>Parthenope</t>
  </si>
  <si>
    <t xml:space="preserve">Chimera </t>
  </si>
  <si>
    <t>La Chimera</t>
  </si>
  <si>
    <t>Atmintis</t>
  </si>
  <si>
    <t>Memory</t>
  </si>
  <si>
    <t xml:space="preserve">Meilės prigimtis </t>
  </si>
  <si>
    <t>Simple comme Sylvain</t>
  </si>
  <si>
    <t xml:space="preserve">Kai ateina ruduo </t>
  </si>
  <si>
    <t>When Fall Is Coming</t>
  </si>
  <si>
    <t xml:space="preserve">Liepsnojantis dangus </t>
  </si>
  <si>
    <t>Roter Himmel</t>
  </si>
  <si>
    <t xml:space="preserve">Gyvūnų karalystė </t>
  </si>
  <si>
    <t>Le règne animal</t>
  </si>
  <si>
    <t>Keliautojos poreikiai</t>
  </si>
  <si>
    <t>Yeohaengjaui pilyo</t>
  </si>
  <si>
    <t xml:space="preserve">Nukritę lapai </t>
  </si>
  <si>
    <t>Kuolleet lehdet</t>
  </si>
  <si>
    <t xml:space="preserve">Saldi rytinė pakrantė </t>
  </si>
  <si>
    <t>The Sweet East</t>
  </si>
  <si>
    <t xml:space="preserve">Legua </t>
  </si>
  <si>
    <t>Légua</t>
  </si>
  <si>
    <t>Jausmas, kad laikas ką nors daryti jau praėjo</t>
  </si>
  <si>
    <t>The Feeling That the Time for Doing Something Has Passed</t>
  </si>
  <si>
    <t>Muzika</t>
  </si>
  <si>
    <t xml:space="preserve">Music </t>
  </si>
  <si>
    <t xml:space="preserve">Apie sausą žolę </t>
  </si>
  <si>
    <t>Kuru Otlar Üstüne</t>
  </si>
  <si>
    <t>Mano nusikaltimas</t>
  </si>
  <si>
    <t>Mon crime</t>
  </si>
  <si>
    <t>Šešėlių pėdsakais</t>
  </si>
  <si>
    <t>Ghost Trail</t>
  </si>
  <si>
    <t>Kritinė zona</t>
  </si>
  <si>
    <t>Mantagheye bohrani</t>
  </si>
  <si>
    <t>Club zero</t>
  </si>
  <si>
    <t>Ingeborga Bachmann. Kelionė į dykumą</t>
  </si>
  <si>
    <t>Ingeborg Bachmann – Reise In Die Wüste</t>
  </si>
  <si>
    <t>Sugrįžimas į Seulą</t>
  </si>
  <si>
    <t>Retour à Séoul</t>
  </si>
  <si>
    <t>Paslaptis</t>
  </si>
  <si>
    <t>Zero Zone</t>
  </si>
  <si>
    <t>Kaimynai</t>
  </si>
  <si>
    <t>Reemigrantai 2</t>
  </si>
  <si>
    <t xml:space="preserve"> Valujavičiaus kelionės</t>
  </si>
  <si>
    <t>Irklais per Atlantą</t>
  </si>
  <si>
    <t>Čiurlionis AI</t>
  </si>
  <si>
    <t xml:space="preserve">Ernestas ir Selestina: Kelionė į Šaradiją  </t>
  </si>
  <si>
    <t>Ernest et Célestine: Le voyage en Charabie</t>
  </si>
  <si>
    <t xml:space="preserve">Marijos tyla  </t>
  </si>
  <si>
    <t>Marijas Klusums</t>
  </si>
  <si>
    <t>Broom Films</t>
  </si>
  <si>
    <t xml:space="preserve">Istorija apie drugelį </t>
  </si>
  <si>
    <t>Butterfly Tale</t>
  </si>
  <si>
    <t xml:space="preserve">Mano draugas pingvinas </t>
  </si>
  <si>
    <t>My Penguin friend</t>
  </si>
  <si>
    <t xml:space="preserve">Pragaro vaikis: sukčius </t>
  </si>
  <si>
    <t>Hellboy: The Crooked man</t>
  </si>
  <si>
    <t>Paklusnumo žaidimai</t>
  </si>
  <si>
    <t>Subservience</t>
  </si>
  <si>
    <t xml:space="preserve">Pakilimas  </t>
  </si>
  <si>
    <t>Elevation</t>
  </si>
  <si>
    <t xml:space="preserve">Vaikis žudo pasaulį  </t>
  </si>
  <si>
    <t>Boy Kills World</t>
  </si>
  <si>
    <t>Filmo pavadinimas originalo kalba</t>
  </si>
  <si>
    <t xml:space="preserve">Paskutinė Froido sesija </t>
  </si>
  <si>
    <t>Freud's Last Session</t>
  </si>
  <si>
    <t xml:space="preserve">Marija Montesori </t>
  </si>
  <si>
    <t>La nouvelle femme</t>
  </si>
  <si>
    <t>Daaaaaali!</t>
  </si>
  <si>
    <t xml:space="preserve">Lincesa. Miško princesė  </t>
  </si>
  <si>
    <t>Lincessa. The Silences Of The Forest</t>
  </si>
  <si>
    <t xml:space="preserve">Viltingas rytojus  </t>
  </si>
  <si>
    <t>There’s Still Tomorrow</t>
  </si>
  <si>
    <t>Bernadeta</t>
  </si>
  <si>
    <t>Bernadette</t>
  </si>
  <si>
    <t xml:space="preserve">Stebuklų knyga </t>
  </si>
  <si>
    <t>La chambre des merveilles</t>
  </si>
  <si>
    <t xml:space="preserve">Vizijos </t>
  </si>
  <si>
    <t>Visions</t>
  </si>
  <si>
    <t xml:space="preserve">Meilės laivas  </t>
  </si>
  <si>
    <t>La petite vadrouille</t>
  </si>
  <si>
    <t xml:space="preserve">Apsinuoginusi mūza </t>
  </si>
  <si>
    <t>Bonnard: Pierre &amp; Marthe</t>
  </si>
  <si>
    <t xml:space="preserve">Oho! </t>
  </si>
  <si>
    <t>Wahou!</t>
  </si>
  <si>
    <t xml:space="preserve">Ponas Bleikas jūsų paslaugoms </t>
  </si>
  <si>
    <t>Complètement cramé</t>
  </si>
  <si>
    <t xml:space="preserve">Abipusis sutikimas  </t>
  </si>
  <si>
    <t>Consent</t>
  </si>
  <si>
    <t xml:space="preserve">Mano Marčelas  </t>
  </si>
  <si>
    <t>Marcello Mio</t>
  </si>
  <si>
    <t xml:space="preserve">Rūmai  </t>
  </si>
  <si>
    <t>The Palace</t>
  </si>
  <si>
    <t xml:space="preserve">Elfų kerštas  </t>
  </si>
  <si>
    <t>There's Something in the Barn</t>
  </si>
  <si>
    <t xml:space="preserve"> Cinema Ads</t>
  </si>
  <si>
    <t>Draugų lažybos</t>
  </si>
  <si>
    <t>Prezidentas</t>
  </si>
  <si>
    <t>10 pasimatymų</t>
  </si>
  <si>
    <t xml:space="preserve">Pajamos (Rinkos dalis) </t>
  </si>
  <si>
    <t xml:space="preserve">Žiūrovai (Rinkos dalis) </t>
  </si>
  <si>
    <t xml:space="preserve">Pažadėtoji žemė </t>
  </si>
  <si>
    <t>Bastarden</t>
  </si>
  <si>
    <t xml:space="preserve">Viena vasara  </t>
  </si>
  <si>
    <t>Le temps d'un été</t>
  </si>
  <si>
    <t xml:space="preserve">Magiškos gyvūnų Kalėdos  </t>
  </si>
  <si>
    <t>Le Grand Noël des Animaux</t>
  </si>
  <si>
    <t xml:space="preserve">Šokių karalienė </t>
  </si>
  <si>
    <t>Dancing Queen</t>
  </si>
  <si>
    <t xml:space="preserve">Praeitą vasarą  </t>
  </si>
  <si>
    <t>L’Ete Dernier</t>
  </si>
  <si>
    <t xml:space="preserve">Didieji planetos sergėtojai </t>
  </si>
  <si>
    <t>Les gardiennes de la planete</t>
  </si>
  <si>
    <t xml:space="preserve">Tiesiog super!  </t>
  </si>
  <si>
    <t>Helt super</t>
  </si>
  <si>
    <t>Mūsų svajonės</t>
  </si>
  <si>
    <t>We Have a Dream</t>
  </si>
  <si>
    <t xml:space="preserve">Oho! Žinutė iš kosmoso  </t>
  </si>
  <si>
    <t>Wow! Message from Space</t>
  </si>
  <si>
    <t xml:space="preserve">Jaunasis vadas Vinetu </t>
  </si>
  <si>
    <t>Der junge Häuptling Winnetou</t>
  </si>
  <si>
    <t xml:space="preserve">Tegul prasideda šokiai </t>
  </si>
  <si>
    <t>Empieza el baile</t>
  </si>
  <si>
    <t>Aš esu Zlatanas</t>
  </si>
  <si>
    <t>Jag är Zlatan</t>
  </si>
  <si>
    <t>Kur dingo Ana Frank?</t>
  </si>
  <si>
    <t>Where Is Anne Frank</t>
  </si>
  <si>
    <t xml:space="preserve">Nesiilsėkite ramybėje  </t>
  </si>
  <si>
    <t>Håndtering av udøde</t>
  </si>
  <si>
    <t xml:space="preserve">Gimtadienis  </t>
  </si>
  <si>
    <t>Birthday Girl</t>
  </si>
  <si>
    <t xml:space="preserve">Zoja ir Audra </t>
  </si>
  <si>
    <t>Tempête</t>
  </si>
  <si>
    <t xml:space="preserve">Bloga nuo savęs  </t>
  </si>
  <si>
    <t xml:space="preserve"> Syk Pike</t>
  </si>
  <si>
    <t xml:space="preserve">Katakas. Kelionė į ledynų kraštą </t>
  </si>
  <si>
    <t>Katak: The Brave Beluga</t>
  </si>
  <si>
    <t>Kometa Mumių šalyje</t>
  </si>
  <si>
    <t>Muumipeikko ja pyrstötähti</t>
  </si>
  <si>
    <t xml:space="preserve">Dar po vieną </t>
  </si>
  <si>
    <t>Druk</t>
  </si>
  <si>
    <t>Priscilla</t>
  </si>
  <si>
    <t xml:space="preserve">Interesų zona </t>
  </si>
  <si>
    <t>The Zone of Interest</t>
  </si>
  <si>
    <t xml:space="preserve">Kaimiečiai </t>
  </si>
  <si>
    <t>Chlopi</t>
  </si>
  <si>
    <t xml:space="preserve">Kryčio anatomija </t>
  </si>
  <si>
    <t>Anatomy of a Fall</t>
  </si>
  <si>
    <t xml:space="preserve">Ryuichi Sakamoto | Opusas </t>
  </si>
  <si>
    <t>Ryuichi Sakamoto | Opus</t>
  </si>
  <si>
    <t xml:space="preserve">Geležiniai gniaužtai </t>
  </si>
  <si>
    <t>The Iron Claw</t>
  </si>
  <si>
    <t xml:space="preserve">Monstras </t>
  </si>
  <si>
    <t>Monster</t>
  </si>
  <si>
    <t xml:space="preserve">5½ meilės istorijos viename Vilniaus bute </t>
  </si>
  <si>
    <t>Five and a Half Love Stories in an Apartment in Vilnius, Lithuania</t>
  </si>
  <si>
    <t xml:space="preserve">Praėję gyvenimai </t>
  </si>
  <si>
    <t>Past lives</t>
  </si>
  <si>
    <t xml:space="preserve">Sapnų scenarijus </t>
  </si>
  <si>
    <t>Dream Scenario</t>
  </si>
  <si>
    <t>Mėnesinės</t>
  </si>
  <si>
    <t>Periodical</t>
  </si>
  <si>
    <t xml:space="preserve">Blogis (ne)egzistuoja </t>
  </si>
  <si>
    <t>Evil does not exist</t>
  </si>
  <si>
    <t xml:space="preserve">Meilė, melas, kraujas </t>
  </si>
  <si>
    <t>Love Lies Bleeding</t>
  </si>
  <si>
    <t xml:space="preserve">Metai buvo sunkūs </t>
  </si>
  <si>
    <t>Une année difficile</t>
  </si>
  <si>
    <t xml:space="preserve">Kalėjimo prižiūrėtoja  </t>
  </si>
  <si>
    <t>Vogter</t>
  </si>
  <si>
    <t xml:space="preserve">Mylimiausias mano pyragas  </t>
  </si>
  <si>
    <t>Keyke mahboobe man</t>
  </si>
  <si>
    <t xml:space="preserve">Žalia siena </t>
  </si>
  <si>
    <t>Zielona granica</t>
  </si>
  <si>
    <t xml:space="preserve">Aš čia kapitonas </t>
  </si>
  <si>
    <t>Io Capitano</t>
  </si>
  <si>
    <t xml:space="preserve">Titina Šiaurės ašigalyje </t>
  </si>
  <si>
    <t>Titina</t>
  </si>
  <si>
    <t>Labirintai</t>
  </si>
  <si>
    <t>Pasagges</t>
  </si>
  <si>
    <t xml:space="preserve">Gera mergaitė </t>
  </si>
  <si>
    <t>Babygirl</t>
  </si>
  <si>
    <t>How to Have Sex</t>
  </si>
  <si>
    <t xml:space="preserve">Įpėdinis </t>
  </si>
  <si>
    <t>Le successeur</t>
  </si>
  <si>
    <t xml:space="preserve">Vesper </t>
  </si>
  <si>
    <t xml:space="preserve">Kaupikai </t>
  </si>
  <si>
    <t>Hoard</t>
  </si>
  <si>
    <t xml:space="preserve">Rose Namajunas: Aš esu čempionė  </t>
  </si>
  <si>
    <t>Thug Rose</t>
  </si>
  <si>
    <t xml:space="preserve">Šventasis pagrobimas </t>
  </si>
  <si>
    <t>Rapito</t>
  </si>
  <si>
    <t>Kryžkelė</t>
  </si>
  <si>
    <t>Crossing</t>
  </si>
  <si>
    <t xml:space="preserve">Delinkventai </t>
  </si>
  <si>
    <t>Los delincuentes</t>
  </si>
  <si>
    <t>Po saulės</t>
  </si>
  <si>
    <t>After sun</t>
  </si>
  <si>
    <t>Viskas bus kitaip</t>
  </si>
  <si>
    <t>Everything Will Change</t>
  </si>
  <si>
    <t>Quo vadis, Aida?</t>
  </si>
  <si>
    <t xml:space="preserve">Paskutinis šokis  </t>
  </si>
  <si>
    <t>Last Dance</t>
  </si>
  <si>
    <t xml:space="preserve">Tikroji priežastis </t>
  </si>
  <si>
    <t>Explanation for everything</t>
  </si>
  <si>
    <t>Tapytoja ir vagis</t>
  </si>
  <si>
    <t>Kunstneren og tyven</t>
  </si>
  <si>
    <t>Gerasis bosas</t>
  </si>
  <si>
    <t>El Buen Patrón</t>
  </si>
  <si>
    <t xml:space="preserve">Meile mano </t>
  </si>
  <si>
    <t>Love Life</t>
  </si>
  <si>
    <t xml:space="preserve">Suteik man sparnus </t>
  </si>
  <si>
    <t>Donne moi des Ailes</t>
  </si>
  <si>
    <t>Svečiuose</t>
  </si>
  <si>
    <t>Gæsterne</t>
  </si>
  <si>
    <t xml:space="preserve">Vampyriukas  </t>
  </si>
  <si>
    <t>Petit Vampire</t>
  </si>
  <si>
    <t xml:space="preserve">Parazitas </t>
  </si>
  <si>
    <t>Gisaengchung</t>
  </si>
  <si>
    <t xml:space="preserve">Begalybė </t>
  </si>
  <si>
    <t>L’immensita</t>
  </si>
  <si>
    <t>Rūkymas sukelia kosulį</t>
  </si>
  <si>
    <t>Smoking Causes Coughing</t>
  </si>
  <si>
    <t xml:space="preserve">Toro </t>
  </si>
  <si>
    <t>Mandibules</t>
  </si>
  <si>
    <t xml:space="preserve">Aklas gluosnis, mieganti  moteris </t>
  </si>
  <si>
    <t>Blind Willow, Sleeping Woman</t>
  </si>
  <si>
    <t>Piligrimai</t>
  </si>
  <si>
    <t>Ties virimo riba</t>
  </si>
  <si>
    <t>Boiling Point</t>
  </si>
  <si>
    <t>–</t>
  </si>
  <si>
    <t xml:space="preserve">Niko. Už Šiaurės pašvaistės  </t>
  </si>
  <si>
    <t>Niko: Beyond The Northern Lights</t>
  </si>
  <si>
    <t>4 dienos iki Kalėdų</t>
  </si>
  <si>
    <t>SuperKlaus</t>
  </si>
  <si>
    <t xml:space="preserve">Išdykusios letenos. Dingę augintiniai </t>
  </si>
  <si>
    <t>Grace And Pedro: Pets To The Rescue</t>
  </si>
  <si>
    <t xml:space="preserve">Didžiosios lenktynės. Audi vs. Lancia </t>
  </si>
  <si>
    <t>Race for Glory</t>
  </si>
  <si>
    <t xml:space="preserve">Čia  </t>
  </si>
  <si>
    <t>Here</t>
  </si>
  <si>
    <t>Egzorcizmas</t>
  </si>
  <si>
    <t>The Exorcism</t>
  </si>
  <si>
    <t xml:space="preserve">Raganosis Rino  </t>
  </si>
  <si>
    <t>Thabo and the Rhino Case</t>
  </si>
  <si>
    <t xml:space="preserve">Kitąmet tuo pačiu laiku </t>
  </si>
  <si>
    <t>This Time Next Year</t>
  </si>
  <si>
    <t xml:space="preserve">Savaitgalis Taipėjuje  </t>
  </si>
  <si>
    <t>Weekend in Taipei</t>
  </si>
  <si>
    <t xml:space="preserve">Narsieji gelbėtojai  </t>
  </si>
  <si>
    <t>Combat Wombat: Back 2 Back</t>
  </si>
  <si>
    <t xml:space="preserve">Psichopato bučinys  </t>
  </si>
  <si>
    <t>Woman Of The Hour</t>
  </si>
  <si>
    <t>Paslapčių traukinys</t>
  </si>
  <si>
    <t>A Mystery on the Cattle Hill Express</t>
  </si>
  <si>
    <t xml:space="preserve">Kažkas ten yra  </t>
  </si>
  <si>
    <t>Something in the Water</t>
  </si>
  <si>
    <t xml:space="preserve">Hana monstrų pasaulyje  </t>
  </si>
  <si>
    <t>Hanna And The Monsters</t>
  </si>
  <si>
    <t xml:space="preserve">O, Paryžiau!  </t>
  </si>
  <si>
    <t>Paris Paradis</t>
  </si>
  <si>
    <t xml:space="preserve">Vorai  </t>
  </si>
  <si>
    <t>Sting</t>
  </si>
  <si>
    <t xml:space="preserve">Reiganas </t>
  </si>
  <si>
    <t>Reagan</t>
  </si>
  <si>
    <t>Femme</t>
  </si>
  <si>
    <t xml:space="preserve">Nakties skerdikas </t>
  </si>
  <si>
    <t>Wake Up</t>
  </si>
  <si>
    <t xml:space="preserve">Laisvo elgesio šeimynėlė </t>
  </si>
  <si>
    <t>The Radleys</t>
  </si>
  <si>
    <t xml:space="preserve">Dabar ir visada  </t>
  </si>
  <si>
    <t>Here Now</t>
  </si>
  <si>
    <t xml:space="preserve">Kentervilio pilies vaiduoklis  </t>
  </si>
  <si>
    <t>The Canterville Ghost</t>
  </si>
  <si>
    <t xml:space="preserve">After. Fanams </t>
  </si>
  <si>
    <t>Beyond After</t>
  </si>
  <si>
    <t xml:space="preserve">Palikimas  </t>
  </si>
  <si>
    <t>Treasure</t>
  </si>
  <si>
    <t xml:space="preserve">Šėtono garbintojai  </t>
  </si>
  <si>
    <t>Lord of Misrule</t>
  </si>
  <si>
    <t xml:space="preserve">Nežinomais takais  </t>
  </si>
  <si>
    <t>Sur les chemins noirs</t>
  </si>
  <si>
    <t xml:space="preserve">Geriausi mūsų metai </t>
  </si>
  <si>
    <t>Gli anni più belli</t>
  </si>
  <si>
    <t xml:space="preserve">Žiogas ir Antuanetė </t>
  </si>
  <si>
    <t>Cricket &amp; Antoinette</t>
  </si>
  <si>
    <t>Ramenai</t>
  </si>
  <si>
    <t>Ramen Teh</t>
  </si>
  <si>
    <t xml:space="preserve">Les Misérables. Vargdieniai  </t>
  </si>
  <si>
    <t>Les Misérables</t>
  </si>
  <si>
    <t>Kovotojas</t>
  </si>
  <si>
    <t>Strijder</t>
  </si>
  <si>
    <t>Stebuklinga šviesa</t>
  </si>
  <si>
    <t>Tonda, Slávka a kouzelné svetlo</t>
  </si>
  <si>
    <t>Žaidimų aikštelė</t>
  </si>
  <si>
    <t>Un monde</t>
  </si>
  <si>
    <t>Smalsusis Tobis</t>
  </si>
  <si>
    <t>Checker Tobi und die Reise zu den fliegenden Flüssen</t>
  </si>
  <si>
    <t>Nepaprasta vasara su Tesa</t>
  </si>
  <si>
    <t>Mijn bijzonder rare week met Tess</t>
  </si>
  <si>
    <t xml:space="preserve">Roka keičia pasaulį </t>
  </si>
  <si>
    <t>Rocca verändert die welt</t>
  </si>
  <si>
    <t>Rytoj kažkur prie jūros</t>
  </si>
  <si>
    <t>Morgen irgendwo am meer</t>
  </si>
  <si>
    <t>Falkonai</t>
  </si>
  <si>
    <t>Víti í Vestmannaeyjum</t>
  </si>
  <si>
    <t>Nenormali</t>
  </si>
  <si>
    <t>Psychobitch</t>
  </si>
  <si>
    <t>Vyriškumo pamokos</t>
  </si>
  <si>
    <t>Un vrai bonhomme</t>
  </si>
  <si>
    <t>Kovotoja</t>
  </si>
  <si>
    <t>Vechtmeisje</t>
  </si>
  <si>
    <t>Viskas įmanoma</t>
  </si>
  <si>
    <t>Jippie No More</t>
  </si>
  <si>
    <t>Kosminis vaikis</t>
  </si>
  <si>
    <t>Space boy</t>
  </si>
  <si>
    <t xml:space="preserve">Mažoji Klara  </t>
  </si>
  <si>
    <t>Kutoppen</t>
  </si>
  <si>
    <t>Sumautas Bornholmas</t>
  </si>
  <si>
    <t xml:space="preserve">Fucking Bornholm </t>
  </si>
  <si>
    <t>Įsimylėjęs Orfėjas</t>
  </si>
  <si>
    <t>Orfhea in love</t>
  </si>
  <si>
    <t>Mažosios Klaros Kalėdos</t>
  </si>
  <si>
    <t>Jul pa kuttopen</t>
  </si>
  <si>
    <t>Mamutų medžioklė</t>
  </si>
  <si>
    <t>Pirties seserys</t>
  </si>
  <si>
    <t>Savvusanna sõsarad</t>
  </si>
  <si>
    <t xml:space="preserve">Mažojo Nikolia lobis </t>
  </si>
  <si>
    <t>Le Trésor du Petit Nicolas</t>
  </si>
  <si>
    <t>Maobori company</t>
  </si>
  <si>
    <t>Duobėje</t>
  </si>
  <si>
    <t>69 išpažintis</t>
  </si>
  <si>
    <t>M-films</t>
  </si>
  <si>
    <t xml:space="preserve">Mano laisvė  </t>
  </si>
  <si>
    <t>Mana Brīvība</t>
  </si>
  <si>
    <t>Išgyventi vasarą</t>
  </si>
  <si>
    <t>Rašytojas</t>
  </si>
  <si>
    <t>The Writer</t>
  </si>
  <si>
    <t>Filmo pavadinimas
 originalo kalba</t>
  </si>
  <si>
    <t>Apverstas bokštas</t>
  </si>
  <si>
    <t>Tagurpidi torn</t>
  </si>
  <si>
    <t>Larsas yra LOL</t>
  </si>
  <si>
    <t>Lars er LOL</t>
  </si>
  <si>
    <t>Tamsta Varlius</t>
  </si>
  <si>
    <t>Meester Kikker</t>
  </si>
  <si>
    <t>Net ir pelės keliauja į dangų</t>
  </si>
  <si>
    <t>I mysi patrí do nebe</t>
  </si>
  <si>
    <t>Lenos jūra</t>
  </si>
  <si>
    <t>Zeevonk</t>
  </si>
  <si>
    <t>Gyvūnas</t>
  </si>
  <si>
    <t>Animal</t>
  </si>
  <si>
    <t>Vištienos Lindai!</t>
  </si>
  <si>
    <t>Linda veut du poulet!</t>
  </si>
  <si>
    <t>Arčiau debesų</t>
  </si>
  <si>
    <t>Cloudboy</t>
  </si>
  <si>
    <t>Gauja</t>
  </si>
  <si>
    <t>Smecka</t>
  </si>
  <si>
    <t>Bintė</t>
  </si>
  <si>
    <t>Binti</t>
  </si>
  <si>
    <t>Jokūbas, Mimi ir kalbantys šunys</t>
  </si>
  <si>
    <t>Jekabs, Mimmi un runajosie suni</t>
  </si>
  <si>
    <t>Mūsų namai</t>
  </si>
  <si>
    <t>Where We Belong</t>
  </si>
  <si>
    <t>Mano mama gorila</t>
  </si>
  <si>
    <t>Apstjärnan</t>
  </si>
  <si>
    <t>Aš niekada neverkiu</t>
  </si>
  <si>
    <t>Jak Najdalej Stad</t>
  </si>
  <si>
    <t>Atsargiai, ragana</t>
  </si>
  <si>
    <t>Zlogonje</t>
  </si>
  <si>
    <t>žeme, stop</t>
  </si>
  <si>
    <t>stop-zemlia</t>
  </si>
  <si>
    <t>Karta.EU</t>
  </si>
  <si>
    <t>Islandija: paklydę dykumoje</t>
  </si>
  <si>
    <t xml:space="preserve">Vienuolis ir ginklas </t>
  </si>
  <si>
    <t>The Monk and the Gun</t>
  </si>
  <si>
    <t>Banelė ir Adama</t>
  </si>
  <si>
    <t>Banel &amp; Adama</t>
  </si>
  <si>
    <t>Dahomėja</t>
  </si>
  <si>
    <t>Dahomey</t>
  </si>
  <si>
    <t xml:space="preserve">Hit Man </t>
  </si>
  <si>
    <t>Tylioji brolija</t>
  </si>
  <si>
    <t>The Order</t>
  </si>
  <si>
    <t xml:space="preserve">Horizontas 1 dalis  </t>
  </si>
  <si>
    <t>Horizon an American Saga Part 1</t>
  </si>
  <si>
    <t xml:space="preserve">Blogio šalis </t>
  </si>
  <si>
    <t>Land of Bad</t>
  </si>
  <si>
    <t xml:space="preserve">Gobšuoliai </t>
  </si>
  <si>
    <t>Greedy People</t>
  </si>
  <si>
    <t xml:space="preserve">Arkadija </t>
  </si>
  <si>
    <t>Arcadia</t>
  </si>
  <si>
    <t xml:space="preserve">Atpildas </t>
  </si>
  <si>
    <t>Absolution</t>
  </si>
  <si>
    <t xml:space="preserve">Tylos valanda  </t>
  </si>
  <si>
    <t>The Silent Hour</t>
  </si>
  <si>
    <t xml:space="preserve"> 2024-12-13</t>
  </si>
  <si>
    <t xml:space="preserve">Broliai lokiai: laiko kilpa  </t>
  </si>
  <si>
    <t>Boonie Bears: Time Twist</t>
  </si>
  <si>
    <t>What the Finn – Summer of Surprises (Kannawoniwasein!)</t>
  </si>
  <si>
    <t>Misija: Linksmybių mokykla langweiligste Schule der Welt)</t>
  </si>
  <si>
    <t>Die langweiligste Schule der Welt</t>
  </si>
  <si>
    <t xml:space="preserve">Chaoso seserys ir pingvinas Polas </t>
  </si>
  <si>
    <t>Die Chaosschwestern und Pinguin Paul</t>
  </si>
  <si>
    <t xml:space="preserve">Mikė Pūkuotukas: Kraujas ir medus 2 </t>
  </si>
  <si>
    <t>Winnie the Pooh: Blood and Honey 2</t>
  </si>
  <si>
    <t xml:space="preserve">Kalėdos Batsiuvių gatvėje </t>
  </si>
  <si>
    <t>Christmas on Cobbler Street</t>
  </si>
  <si>
    <t xml:space="preserve">Paryžietė </t>
  </si>
  <si>
    <t>Rue des dames</t>
  </si>
  <si>
    <t xml:space="preserve">Sonne und Beton </t>
  </si>
  <si>
    <t>Sun and Concrete</t>
  </si>
  <si>
    <t>Kalėdų eglutės gyvenimas ir mirtis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</si>
</sst>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00%"/>
    <numFmt numFmtId="166" formatCode="yyyy/mm/dd;@"/>
  </numFmts>
  <fonts count="12" x14ac:knownFonts="1">
    <font>
      <sz val="9"/>
      <color theme="1"/>
      <name val="Arial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sz val="10"/>
      <name val="Verdana"/>
      <family val="2"/>
      <charset val="186"/>
    </font>
    <font>
      <i/>
      <sz val="10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b/>
      <sz val="12"/>
      <name val="Verdana"/>
      <family val="2"/>
    </font>
    <font>
      <sz val="10"/>
      <name val="Verdana"/>
      <family val="2"/>
    </font>
    <font>
      <sz val="9"/>
      <name val="Arial"/>
      <family val="2"/>
      <charset val="186"/>
    </font>
    <font>
      <b/>
      <i/>
      <sz val="10"/>
      <name val="Verdana"/>
      <family val="2"/>
      <charset val="186"/>
    </font>
    <font>
      <b/>
      <i/>
      <sz val="10"/>
      <color theme="1"/>
      <name val="Verdan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C6A2"/>
        <bgColor indexed="64"/>
      </patternFill>
    </fill>
    <fill>
      <patternFill patternType="solid">
        <fgColor rgb="FF86D0A7"/>
        <bgColor indexed="64"/>
      </patternFill>
    </fill>
    <fill>
      <patternFill patternType="solid">
        <fgColor rgb="FFBEE8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 wrapText="1"/>
    </xf>
    <xf numFmtId="0" fontId="9" fillId="0" borderId="0" xfId="0" applyFont="1"/>
    <xf numFmtId="3" fontId="9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0" fillId="0" borderId="0" xfId="0" applyNumberFormat="1"/>
    <xf numFmtId="165" fontId="2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wrapText="1"/>
    </xf>
    <xf numFmtId="3" fontId="0" fillId="2" borderId="8" xfId="0" applyNumberFormat="1" applyFill="1" applyBorder="1" applyAlignment="1">
      <alignment horizontal="left" wrapText="1"/>
    </xf>
    <xf numFmtId="0" fontId="3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left" wrapText="1"/>
    </xf>
    <xf numFmtId="3" fontId="0" fillId="3" borderId="0" xfId="0" applyNumberFormat="1" applyFill="1"/>
    <xf numFmtId="164" fontId="0" fillId="3" borderId="0" xfId="0" applyNumberFormat="1" applyFill="1"/>
    <xf numFmtId="0" fontId="0" fillId="3" borderId="0" xfId="0" applyFill="1"/>
    <xf numFmtId="164" fontId="9" fillId="3" borderId="0" xfId="0" applyNumberFormat="1" applyFont="1" applyFill="1" applyAlignment="1">
      <alignment horizontal="left" wrapText="1"/>
    </xf>
    <xf numFmtId="3" fontId="9" fillId="3" borderId="0" xfId="0" applyNumberFormat="1" applyFont="1" applyFill="1"/>
    <xf numFmtId="164" fontId="9" fillId="3" borderId="0" xfId="0" applyNumberFormat="1" applyFont="1" applyFill="1"/>
    <xf numFmtId="3" fontId="0" fillId="3" borderId="0" xfId="0" applyNumberFormat="1" applyFill="1" applyAlignment="1">
      <alignment horizontal="left" wrapText="1"/>
    </xf>
    <xf numFmtId="0" fontId="9" fillId="3" borderId="0" xfId="0" applyFont="1" applyFill="1"/>
    <xf numFmtId="0" fontId="0" fillId="3" borderId="0" xfId="0" applyFill="1" applyAlignment="1">
      <alignment horizontal="left" wrapText="1"/>
    </xf>
    <xf numFmtId="164" fontId="2" fillId="2" borderId="1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left" vertical="center" wrapText="1"/>
    </xf>
    <xf numFmtId="0" fontId="0" fillId="0" borderId="3" xfId="0" applyBorder="1"/>
    <xf numFmtId="166" fontId="1" fillId="0" borderId="11" xfId="0" applyNumberFormat="1" applyFont="1" applyBorder="1" applyAlignment="1">
      <alignment horizontal="center" wrapText="1"/>
    </xf>
    <xf numFmtId="166" fontId="8" fillId="0" borderId="17" xfId="0" applyNumberFormat="1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166" fontId="0" fillId="3" borderId="0" xfId="0" applyNumberFormat="1" applyFill="1"/>
    <xf numFmtId="166" fontId="0" fillId="0" borderId="0" xfId="0" applyNumberFormat="1"/>
    <xf numFmtId="166" fontId="2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6" borderId="1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6" fontId="8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left" wrapText="1"/>
    </xf>
    <xf numFmtId="3" fontId="2" fillId="2" borderId="20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164" fontId="5" fillId="6" borderId="8" xfId="0" applyNumberFormat="1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166" fontId="8" fillId="6" borderId="5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left" vertical="center" wrapText="1"/>
    </xf>
    <xf numFmtId="3" fontId="2" fillId="2" borderId="20" xfId="0" applyNumberFormat="1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164" fontId="11" fillId="6" borderId="5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left" wrapText="1"/>
    </xf>
    <xf numFmtId="164" fontId="0" fillId="2" borderId="9" xfId="0" applyNumberForma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166" fontId="8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left" wrapText="1"/>
    </xf>
    <xf numFmtId="164" fontId="0" fillId="6" borderId="0" xfId="0" applyNumberFormat="1" applyFill="1" applyAlignment="1">
      <alignment horizontal="left" wrapText="1"/>
    </xf>
    <xf numFmtId="3" fontId="0" fillId="6" borderId="0" xfId="0" applyNumberFormat="1" applyFill="1"/>
    <xf numFmtId="166" fontId="0" fillId="6" borderId="0" xfId="0" applyNumberFormat="1" applyFill="1"/>
    <xf numFmtId="3" fontId="9" fillId="6" borderId="0" xfId="0" applyNumberFormat="1" applyFont="1" applyFill="1"/>
    <xf numFmtId="3" fontId="0" fillId="6" borderId="0" xfId="0" applyNumberFormat="1" applyFill="1" applyAlignment="1">
      <alignment horizontal="left" wrapText="1"/>
    </xf>
    <xf numFmtId="164" fontId="0" fillId="6" borderId="0" xfId="0" applyNumberFormat="1" applyFill="1"/>
    <xf numFmtId="0" fontId="2" fillId="0" borderId="17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91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3" formatCode="0%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3" formatCode="0%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3" formatCode="0%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3" formatCode="0%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yyyy/mm/dd;@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yyyy/mm/dd;@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yyyy/mm/dd;@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yyyy/mm/dd;@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yyyy/mm/dd;@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rgb="FFBEE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BEE8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ill>
        <patternFill patternType="solid">
          <fgColor rgb="FF000000"/>
          <bgColor rgb="FFBEE8C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BEE8C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yyyy/mm/d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name val="Verdana"/>
        <family val="2"/>
        <charset val="186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ill>
        <patternFill patternType="solid">
          <fgColor indexed="64"/>
          <bgColor rgb="FFBEE8C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0.000%"/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0.000%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rgb="FFBEE8C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Verdana"/>
        <family val="2"/>
        <charset val="186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0.000%"/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0.000%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BEE8C5"/>
        </patternFill>
      </fill>
    </dxf>
    <dxf>
      <font>
        <strike val="0"/>
        <outline val="0"/>
        <shadow val="0"/>
        <u val="none"/>
        <vertAlign val="baseline"/>
        <color theme="1"/>
        <name val="Verdana"/>
        <family val="2"/>
        <charset val="186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BEE8C5"/>
      <color rgb="FF86D0A7"/>
      <color rgb="FFEBF6F9"/>
      <color rgb="FFCBE8F1"/>
      <color rgb="FF6FBED7"/>
      <color rgb="FFE1E9E7"/>
      <color rgb="FFF4FFCB"/>
      <color rgb="FFBA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35" totalsRowCount="1" headerRowDxfId="590" dataDxfId="589" totalsRowDxfId="588">
  <sortState xmlns:xlrd2="http://schemas.microsoft.com/office/spreadsheetml/2017/richdata2" ref="A3:G34">
    <sortCondition descending="1" ref="C3:C34"/>
  </sortState>
  <tableColumns count="7">
    <tableColumn id="1" xr3:uid="{00000000-0010-0000-0000-000001000000}" name="Eil. Nr." totalsRowLabel=" " totalsRowDxfId="6"/>
    <tableColumn id="2" xr3:uid="{00000000-0010-0000-0000-000002000000}" name="Kino platinimo kompanija" totalsRowLabel="TOTAL" totalsRowDxfId="5"/>
    <tableColumn id="3" xr3:uid="{00000000-0010-0000-0000-000003000000}" name="Pajamos  " totalsRowFunction="sum" dataDxfId="587" totalsRowDxfId="4"/>
    <tableColumn id="4" xr3:uid="{00000000-0010-0000-0000-000004000000}" name="Žiūrovų skaičius" totalsRowFunction="sum" dataDxfId="586" totalsRowDxfId="3"/>
    <tableColumn id="5" xr3:uid="{00000000-0010-0000-0000-000005000000}" name="Filmų kiekis" totalsRowFunction="sum" dataDxfId="585" totalsRowDxfId="2"/>
    <tableColumn id="6" xr3:uid="{00000000-0010-0000-0000-000006000000}" name="Pajamos (Rinkos dalis) " totalsRowFunction="sum" dataDxfId="584" totalsRowDxfId="1">
      <calculatedColumnFormula>(Table1[[#This Row],[Pajamos  ]]/Table1[[#Totals],[Pajamos  ]])*100%</calculatedColumnFormula>
    </tableColumn>
    <tableColumn id="7" xr3:uid="{00000000-0010-0000-0000-000007000000}" name="Žiūrovai (Rinkos dalis) " totalsRowFunction="sum" dataDxfId="583" totalsRowDxfId="0">
      <calculatedColumnFormula>(Table1[[#This Row],[Žiūrovų skaičius]]/Table1[[#Totals],[Žiūrovų skaičius]])*100%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OTAL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8:G75" totalsRowCount="1" headerRowDxfId="582" dataDxfId="581" totalsRowDxfId="580" totalsRowBorderDxfId="579">
  <sortState xmlns:xlrd2="http://schemas.microsoft.com/office/spreadsheetml/2017/richdata2" ref="A39:G74">
    <sortCondition descending="1" ref="C39:C74"/>
  </sortState>
  <tableColumns count="7">
    <tableColumn id="1" xr3:uid="{00000000-0010-0000-0100-000001000000}" name="Eil. Nr." totalsRowLabel=" " totalsRowDxfId="13"/>
    <tableColumn id="2" xr3:uid="{00000000-0010-0000-0100-000002000000}" name="Kino platinimo kompanija" totalsRowLabel="TOTAL" totalsRowDxfId="12"/>
    <tableColumn id="3" xr3:uid="{00000000-0010-0000-0100-000003000000}" name="Pajamos  " totalsRowFunction="sum" dataDxfId="578" totalsRowDxfId="11"/>
    <tableColumn id="4" xr3:uid="{00000000-0010-0000-0100-000004000000}" name="Žiūrovų skaičius" totalsRowFunction="sum" dataDxfId="32" totalsRowDxfId="10"/>
    <tableColumn id="5" xr3:uid="{00000000-0010-0000-0100-000005000000}" name="Filmų kiekis" totalsRowFunction="sum" dataDxfId="577" totalsRowDxfId="9"/>
    <tableColumn id="6" xr3:uid="{00000000-0010-0000-0100-000006000000}" name="Pajamos (Procentinė išraiška) " totalsRowFunction="sum" dataDxfId="576" totalsRowDxfId="8">
      <calculatedColumnFormula>(Table13[[#This Row],[Pajamos  ]]/Table13[[#Totals],[Pajamos  ]])*100%</calculatedColumnFormula>
    </tableColumn>
    <tableColumn id="7" xr3:uid="{00000000-0010-0000-0100-000007000000}" name="Žiūrovai (Procentinė išraiška) " totalsRowFunction="sum" dataDxfId="575" totalsRowDxfId="7">
      <calculatedColumnFormula>(Table13[[#This Row],[Žiūrovų skaičius]]/Table13[[#Totals],[Žiūrovų skaičius]])*100%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OTAL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97BEF7-BC14-4BA8-B666-947F21E707F3}" name="ACMEFilm" displayName="ACMEFilm" ref="A2:J90" totalsRowCount="1" headerRowDxfId="574" totalsRowDxfId="572" headerRowBorderDxfId="573" totalsRowBorderDxfId="571">
  <tableColumns count="10">
    <tableColumn id="1" xr3:uid="{901646EB-562B-486B-B200-E95DD85A2789}" name="Eil. Nr." totalsRowLabel=" " totalsRowDxfId="58"/>
    <tableColumn id="9" xr3:uid="{5D85EBA6-E453-46F1-B1A8-A4CC99377E4F}" name="Filmo pavadinimas" totalsRowDxfId="57"/>
    <tableColumn id="2" xr3:uid="{F1640092-399E-4FE0-AA3A-262805A4DADE}" name="Filmo pavadinimas _x000a_originalo kalba" dataDxfId="570" totalsRowDxfId="56"/>
    <tableColumn id="12" xr3:uid="{B5692D2A-FF22-4580-9EFB-1CB674D6E238}" name="Warner Bros._x000a_Pajamos" totalsRowFunction="sum" dataDxfId="569" totalsRowDxfId="55"/>
    <tableColumn id="11" xr3:uid="{EE0003A5-D722-4D43-8A08-44CC6FBB01CE}" name="Warner Bros._x000a_Žiūrovai" totalsRowFunction="sum" dataDxfId="568" totalsRowDxfId="54"/>
    <tableColumn id="3" xr3:uid="{B3AF106F-981F-4D80-9026-1DE3B6FC13D1}" name="Independent_x000a_Pajamos" totalsRowFunction="sum" dataDxfId="567" totalsRowDxfId="53"/>
    <tableColumn id="10" xr3:uid="{42A1EF6E-E051-4AFC-A822-226E69122108}" name="Independent _x000a_Žiūrovai" totalsRowFunction="sum" dataDxfId="566" totalsRowDxfId="52"/>
    <tableColumn id="7" xr3:uid="{99808DDD-8AE6-4468-979D-5E5E0A243803}" name="SONY _x000a_Pajamos" totalsRowFunction="sum" dataDxfId="565" totalsRowDxfId="51"/>
    <tableColumn id="4" xr3:uid="{4C942F64-AC99-46E4-A0D2-7840D2AB73C1}" name="SONY_x000a_Žiūrovai" totalsRowFunction="sum" dataDxfId="564" totalsRowDxfId="50"/>
    <tableColumn id="6" xr3:uid="{A607EBCE-41F8-4A18-8984-9C793CB67E53}" name="Premjeros data" dataDxfId="563" totalsRowDxfId="4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0810D8-C169-4696-9F01-9E5B727B699B}" name="DuKine" displayName="DuKine" ref="A2:H37" totalsRowCount="1" headerRowDxfId="562" totalsRowDxfId="560" headerRowBorderDxfId="561" totalsRowBorderDxfId="559">
  <tableColumns count="8">
    <tableColumn id="1" xr3:uid="{55A41532-2959-4AB0-9AFD-A4F6A33DC251}" name="Eil. Nr." totalsRowLabel=" " dataDxfId="558" totalsRowDxfId="48"/>
    <tableColumn id="9" xr3:uid="{AB772463-1826-4EA3-A885-347E63304A3A}" name="Filmo pavadinimas" dataDxfId="557" totalsRowDxfId="47"/>
    <tableColumn id="2" xr3:uid="{F163D381-8FF6-450B-AEEE-9B4C0F9DDF3E}" name="Filmo pavadinimas _x000a_originalo kalba" dataDxfId="556" totalsRowDxfId="46"/>
    <tableColumn id="12" xr3:uid="{7BE07E60-6E3B-4A16-ACB0-9A04401E71FC}" name="Universal Pictures_x000a_Pajamos" totalsRowFunction="sum" dataDxfId="555" totalsRowDxfId="45"/>
    <tableColumn id="11" xr3:uid="{5557F65B-E726-47E4-85EF-17E5E473CD2E}" name="Universal Pictures_x000a_Žiūrovai" totalsRowFunction="sum" dataDxfId="554" totalsRowDxfId="44"/>
    <tableColumn id="3" xr3:uid="{8B61724B-319E-47A5-8170-388CCC9F2FB5}" name="Paramount Pictures _x000a_Pajamos" totalsRowFunction="sum" dataDxfId="553" totalsRowDxfId="43"/>
    <tableColumn id="10" xr3:uid="{9BB9E194-54A2-4E25-8E29-C32E95FE7019}" name="Paramount Pictures _x000a_Žiūrovai" totalsRowFunction="sum" dataDxfId="552" totalsRowDxfId="42"/>
    <tableColumn id="6" xr3:uid="{DD08FF8B-3C50-4301-A7CE-DD68EB3C0F7F}" name="Premjeros data" dataDxfId="551" totalsRowDxfId="4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9D3055-79FA-4CAD-A078-E6D45D033F07}" name="Table356" displayName="Table356" ref="A2:H31" totalsRowCount="1" headerRowDxfId="550" totalsRowDxfId="548" headerRowBorderDxfId="549" totalsRowBorderDxfId="547">
  <tableColumns count="8">
    <tableColumn id="1" xr3:uid="{F5E54D85-E0B0-4C06-968D-F30951619A26}" name="Eil. Nr." totalsRowLabel=" " dataDxfId="546" totalsRowDxfId="40"/>
    <tableColumn id="9" xr3:uid="{86E733C0-5190-4AA4-8196-727E4874359C}" name="Filmo pavadinimas" dataDxfId="545" totalsRowDxfId="39"/>
    <tableColumn id="2" xr3:uid="{9310A463-1869-4926-9E20-5BA93555BA26}" name="Filmo pavadinimas _x000a_originalo kalba" dataDxfId="544" totalsRowDxfId="38"/>
    <tableColumn id="12" xr3:uid="{0363D3A5-B9C7-4602-81DF-A416F6B880CD}" name="WDSMPI_x000a_Pajamos" totalsRowFunction="sum" dataDxfId="543" totalsRowDxfId="37"/>
    <tableColumn id="11" xr3:uid="{C823D87B-8188-4D01-978D-705897620C6F}" name="WDSMPI_x000a_Žiūrovai" totalsRowFunction="sum" dataDxfId="542" totalsRowDxfId="36"/>
    <tableColumn id="3" xr3:uid="{F9E125A6-41DC-4AFC-81B4-DDA7DBFD523D}" name="Independent_x000a_Pajamos" totalsRowFunction="sum" dataDxfId="541" totalsRowDxfId="35"/>
    <tableColumn id="10" xr3:uid="{1EDBE2C7-3A19-4BF4-A1BF-B42200A2BB0B}" name="Independent _x000a_Žiūrovai" totalsRowFunction="sum" dataDxfId="540" totalsRowDxfId="34"/>
    <tableColumn id="6" xr3:uid="{9B397758-B34B-4A09-B6E9-D92F35A19918}" name="Premjeros data" dataDxfId="539" totalsRowDxfId="3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C7DB945-FF20-496B-B580-18E0704CE269}" name="Vabalofilmai" displayName="Vabalofilmai" ref="A2:F6" totalsRowCount="1" headerRowDxfId="538" totalsRowDxfId="536" headerRowBorderDxfId="537" totalsRowBorderDxfId="535">
  <tableColumns count="6">
    <tableColumn id="1" xr3:uid="{40F6279A-94DC-4394-B530-0AD0B7EA934D}" name="Eil. Nr." totalsRowLabel=" " dataDxfId="534" totalsRowDxfId="533"/>
    <tableColumn id="9" xr3:uid="{8506EEA5-096F-4CDC-B44A-AF624C6425A5}" name="Filmo pavadinimas" totalsRowLabel="TOTAL" dataDxfId="532" totalsRowDxfId="531"/>
    <tableColumn id="2" xr3:uid="{3A20917F-C414-4058-BE27-DF0E1FF1E6AA}" name="Filmo pavadinimas _x000a_originalo kalba" dataDxfId="530" totalsRowDxfId="529"/>
    <tableColumn id="3" xr3:uid="{56395C2F-EBFA-4375-84D3-860EECFA3B0A}" name="_x000a_Pajamos" totalsRowFunction="sum" dataDxfId="528" totalsRowDxfId="527"/>
    <tableColumn id="10" xr3:uid="{9BCE9559-4E94-47E2-BD53-FB8B6709BE2A}" name=" _x000a_Žiūrovai" totalsRowFunction="sum" dataDxfId="526" totalsRowDxfId="525"/>
    <tableColumn id="6" xr3:uid="{7664C8A1-72AC-43AE-B07F-647178480F4D}" name="Premjeros data" dataDxfId="524" totalsRowDxfId="52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4DD706B-BED3-4A34-A626-7825D94590A6}" name="Valujavičiauskelionės" displayName="Valujavičiauskelionės" ref="A2:F4" totalsRowCount="1" headerRowDxfId="522" totalsRowDxfId="520" headerRowBorderDxfId="521" totalsRowBorderDxfId="519">
  <tableColumns count="6">
    <tableColumn id="1" xr3:uid="{2670C972-2BE8-46B5-B8F7-64B4F86366C9}" name="Eil. Nr." totalsRowLabel=" " dataDxfId="518" totalsRowDxfId="517"/>
    <tableColumn id="9" xr3:uid="{FC428EDB-118A-426D-BB90-2256D53DE937}" name="Filmo pavadinimas" totalsRowLabel="TOTAL" dataDxfId="516" totalsRowDxfId="515"/>
    <tableColumn id="2" xr3:uid="{7697344A-7DBF-47A0-9CAA-318DDB053D1C}" name="Filmo pavadinimas _x000a_originalo kalba" dataDxfId="514" totalsRowDxfId="513"/>
    <tableColumn id="3" xr3:uid="{AEB85BA0-19D4-4D6B-9492-611B7FDC425A}" name="_x000a_Pajamos" totalsRowFunction="sum" dataDxfId="512" totalsRowDxfId="511"/>
    <tableColumn id="10" xr3:uid="{884D547D-57BF-40CE-8176-AC081D42DEAB}" name=" _x000a_Žiūrovai" totalsRowFunction="sum" dataDxfId="510" totalsRowDxfId="509"/>
    <tableColumn id="6" xr3:uid="{89DA229A-55C4-43C1-B181-BB84395A5199}" name="Premjeros data" dataDxfId="508" totalsRowDxfId="50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F0470EB-03A6-4FAF-9575-25BA3D4584BA}" name="CinemaAds" displayName="CinemaAds" ref="A2:F6" totalsRowCount="1" headerRowDxfId="506" totalsRowDxfId="504" headerRowBorderDxfId="505" totalsRowBorderDxfId="503">
  <tableColumns count="6">
    <tableColumn id="1" xr3:uid="{54FF72D6-9C02-4441-BBFB-5B0142002B87}" name="Eil. Nr." totalsRowLabel=" " dataDxfId="502" totalsRowDxfId="31"/>
    <tableColumn id="9" xr3:uid="{BA474531-75D6-4875-A28B-915560BF24B1}" name="Filmo pavadinimas" totalsRowLabel="TOTAL" dataDxfId="501" totalsRowDxfId="30"/>
    <tableColumn id="2" xr3:uid="{31D908CB-0292-4A15-A215-5B0E370CB539}" name="Filmo pavadinimas _x000a_originalo kalba" dataDxfId="500" totalsRowDxfId="29"/>
    <tableColumn id="3" xr3:uid="{693C9639-9A7D-4268-8E3B-CF085850659C}" name="_x000a_Pajamos" totalsRowFunction="sum" dataDxfId="499" totalsRowDxfId="28"/>
    <tableColumn id="10" xr3:uid="{2C7F062A-56DD-41F7-837B-B0EF7F42FF60}" name=" _x000a_Žiūrovai" totalsRowFunction="sum" dataDxfId="498" totalsRowDxfId="27"/>
    <tableColumn id="6" xr3:uid="{2201DEEE-BA3F-420A-855C-BD593BBC87ED}" name="Premjeros data" dataDxfId="497" totalsRowDxfId="2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232A756-FD1C-47B2-8842-12DD6FD3056C}" name="Table356789" displayName="Table356789" ref="A2:F26" totalsRowCount="1" headerRowDxfId="496" totalsRowDxfId="494" headerRowBorderDxfId="495" totalsRowBorderDxfId="493">
  <tableColumns count="6">
    <tableColumn id="1" xr3:uid="{7F6288A8-C9C2-4AD1-A0B2-41DC7C20870A}" name="Eil. Nr." totalsRowLabel=" " dataDxfId="492" totalsRowDxfId="491"/>
    <tableColumn id="9" xr3:uid="{F0F46BC8-7164-4183-893B-54B4D6A04FBF}" name="Filmo pavadinimas" totalsRowLabel="TOTAL" dataDxfId="490" totalsRowDxfId="489"/>
    <tableColumn id="2" xr3:uid="{80DD33BF-F4FD-4772-BC5C-FB822AB9B3CA}" name="Filmo pavadinimas _x000a_originalo kalba" dataDxfId="488" totalsRowDxfId="487"/>
    <tableColumn id="3" xr3:uid="{ECC5A700-70C2-4EDF-87E6-2FA05C674CAF}" name="_x000a_Pajamos" totalsRowFunction="sum" dataDxfId="486" totalsRowDxfId="485"/>
    <tableColumn id="10" xr3:uid="{59A2B655-522A-49A6-9A05-980550E9145A}" name=" _x000a_Žiūrovai" totalsRowFunction="sum" dataDxfId="484" totalsRowDxfId="483"/>
    <tableColumn id="6" xr3:uid="{5F73BB78-43E8-48E2-893A-40A30C2A2132}" name="Premjeros data" dataDxfId="482" totalsRowDxfId="48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BAA874-D253-4F99-A437-E10C8F2ECD8A}" name="GPI" displayName="GPI" ref="A2:F28" totalsRowCount="1" headerRowDxfId="480" totalsRowDxfId="478" headerRowBorderDxfId="479" totalsRowBorderDxfId="477">
  <tableColumns count="6">
    <tableColumn id="1" xr3:uid="{42DE8DA0-8BD3-474A-A268-E8C8B6CF28F3}" name="Eil. Nr." dataDxfId="476" totalsRowDxfId="475"/>
    <tableColumn id="9" xr3:uid="{E07D5B2E-3C21-420D-AB6F-D41AC78E9B7B}" name="Filmo pavadinimas" totalsRowLabel="TOTAL" dataDxfId="474" totalsRowDxfId="473"/>
    <tableColumn id="2" xr3:uid="{A8869F52-3FE7-49E0-9392-8E88E3FD2D3A}" name="Filmo pavadinimas _x000a_originalo kalba" dataDxfId="472" totalsRowDxfId="471"/>
    <tableColumn id="3" xr3:uid="{75913541-ECB1-46B1-A33A-3E46671C4385}" name="_x000a_Pajamos" totalsRowFunction="sum" dataDxfId="470" totalsRowDxfId="469"/>
    <tableColumn id="10" xr3:uid="{8D43A55D-B8FA-4C10-A228-CB10C7FA2F20}" name=" _x000a_Žiūrovai" totalsRowFunction="sum" dataDxfId="468" totalsRowDxfId="467"/>
    <tableColumn id="6" xr3:uid="{0EAF546A-BCA5-4854-B6AC-26C64E1F13DF}" name="Premjeros data" dataDxfId="466" totalsRowDxfId="46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06F4C6-092D-4DDF-BE8F-9242EF4C95CA}" name="Europoskinas" displayName="Europoskinas" ref="A2:F52" totalsRowCount="1" headerRowDxfId="464" totalsRowDxfId="462" headerRowBorderDxfId="463" totalsRowBorderDxfId="461">
  <tableColumns count="6">
    <tableColumn id="1" xr3:uid="{A24DB5CC-1088-4DA7-8BD0-40179ACA5C44}" name="Eil. Nr." dataDxfId="460" totalsRowDxfId="459"/>
    <tableColumn id="9" xr3:uid="{ECC4DB7C-D195-4883-A252-6961DE47F4C9}" name="Filmo pavadinimas" totalsRowLabel="TOTAL" dataDxfId="458" totalsRowDxfId="457"/>
    <tableColumn id="2" xr3:uid="{0D98565B-EDC9-4251-BA8B-B68D6124EF44}" name="Filmo pavadinimas originalo kalba" dataDxfId="456" totalsRowDxfId="455"/>
    <tableColumn id="3" xr3:uid="{05632185-44F2-424C-91E0-B0264EB884E8}" name="_x000a_Pajamos" totalsRowFunction="sum" dataDxfId="454" totalsRowDxfId="453"/>
    <tableColumn id="10" xr3:uid="{63953631-3929-45D8-AFF1-8A118C566651}" name=" _x000a_Žiūrovai" totalsRowFunction="sum" dataDxfId="452" totalsRowDxfId="451"/>
    <tableColumn id="6" xr3:uid="{FF1E1910-FC3F-4F33-A1DB-D7CAE6BBAEA7}" name="Premjeros data" dataDxfId="450" totalsRowDxfId="44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CB0718F-C7CB-488E-AACE-EF884F6BF0D2}" name="Pomokyklos" displayName="Pomokyklos" ref="A2:F4" totalsRowCount="1" headerRowDxfId="448" totalsRowDxfId="446" headerRowBorderDxfId="447" totalsRowBorderDxfId="445">
  <tableColumns count="6">
    <tableColumn id="1" xr3:uid="{AB413BBF-85BC-4F50-B70F-8EAE0FF0AE92}" name="Eil. Nr." totalsRowLabel=" " dataDxfId="444" totalsRowDxfId="443"/>
    <tableColumn id="9" xr3:uid="{75157687-C624-477B-92CD-44632BA390D6}" name="Filmo pavadinimas" totalsRowLabel="TOTAL" dataDxfId="442" totalsRowDxfId="441"/>
    <tableColumn id="2" xr3:uid="{21B6E50F-2713-4E3E-946B-B19E0782F144}" name="Filmo pavadinimas _x000a_originalo kalba" dataDxfId="440" totalsRowDxfId="439"/>
    <tableColumn id="3" xr3:uid="{58F1C9BF-8DB9-4A88-8B5F-C9BBB228DB9C}" name="_x000a_Pajamos" totalsRowFunction="sum" dataDxfId="438" totalsRowDxfId="437"/>
    <tableColumn id="10" xr3:uid="{1E675B5B-1683-4A62-BE16-4FD9C8320FB9}" name=" _x000a_Žiūrovai" totalsRowFunction="sum" dataDxfId="436" totalsRowDxfId="435"/>
    <tableColumn id="6" xr3:uid="{F44DCE87-B15C-4FC6-9511-21E8129A92D5}" name="Premjeros data" dataDxfId="434" totalsRowDxfId="433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093556-067C-4119-81C2-667A62A93B49}" name="Table3567891011" displayName="Table3567891011" ref="A2:F24" totalsRowCount="1" headerRowDxfId="432" totalsRowDxfId="430" headerRowBorderDxfId="431" totalsRowBorderDxfId="429">
  <tableColumns count="6">
    <tableColumn id="1" xr3:uid="{661CD7C8-0D90-4DA1-A8E3-00ED77551556}" name="Eil. Nr." totalsRowLabel=" " dataDxfId="428" totalsRowDxfId="427"/>
    <tableColumn id="9" xr3:uid="{30628708-A33F-440E-9206-5A57EE4F51E4}" name="Filmo pavadinimas" dataDxfId="426" totalsRowDxfId="425"/>
    <tableColumn id="2" xr3:uid="{B8B5EB67-5FFE-45EC-976A-0E60E110CCD5}" name="Filmo pavadinimas _x000a_originalo kalba" dataDxfId="424" totalsRowDxfId="423"/>
    <tableColumn id="3" xr3:uid="{496152EA-2D5B-4C1F-AB18-790957885F9B}" name="_x000a_Pajamos" totalsRowFunction="sum" dataDxfId="422" totalsRowDxfId="421"/>
    <tableColumn id="10" xr3:uid="{2E244914-5D01-4516-89B7-1CD3414C91FF}" name=" _x000a_Žiūrovai" totalsRowFunction="sum" dataDxfId="420" totalsRowDxfId="419"/>
    <tableColumn id="6" xr3:uid="{CF17887D-5686-40D1-AB47-A10FAEF8B5C6}" name="Premjeros data" dataDxfId="418" totalsRowDxfId="417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A0EF584-3730-4455-BC95-F27BFBCD2E66}" name="BestFilm" displayName="BestFilm" ref="A2:F19" totalsRowCount="1" headerRowDxfId="416" totalsRowDxfId="414" headerRowBorderDxfId="415" totalsRowBorderDxfId="413">
  <tableColumns count="6">
    <tableColumn id="1" xr3:uid="{05BA2E92-5DDB-420B-8AC9-BAC551903596}" name="Eil. Nr." totalsRowLabel=" " dataDxfId="412" totalsRowDxfId="411"/>
    <tableColumn id="9" xr3:uid="{D750F58B-FBAB-446C-AC60-A40CA674FCA1}" name="Filmo pavadinimas" totalsRowLabel="TOTAL" dataDxfId="410" totalsRowDxfId="409"/>
    <tableColumn id="2" xr3:uid="{858E334F-CBF6-4FB0-89B5-DB89BC47626A}" name="Filmo pavadinimas originalo kalba" dataDxfId="408" totalsRowDxfId="407"/>
    <tableColumn id="3" xr3:uid="{76400D4D-4E60-452E-8D3F-E67B4B7D0FEE}" name="_x000a_Pajamos" totalsRowFunction="sum" dataDxfId="406" totalsRowDxfId="405"/>
    <tableColumn id="10" xr3:uid="{43F2E500-D3FB-414B-8A1F-CA45B791F0AE}" name=" _x000a_Žiūrovai" totalsRowFunction="sum" dataDxfId="404" totalsRowDxfId="403"/>
    <tableColumn id="6" xr3:uid="{A2CB1F12-956C-441D-8321-0944D59BF059}" name="Premjeros data" dataDxfId="402" totalsRowDxfId="401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0C73C61-0DC4-4321-A98E-EBEF15CEAB0B}" name="Travolta" displayName="Travolta" ref="A2:F11" totalsRowCount="1" headerRowDxfId="400" totalsRowDxfId="398" headerRowBorderDxfId="399" totalsRowBorderDxfId="397">
  <tableColumns count="6">
    <tableColumn id="1" xr3:uid="{6F28189A-2451-4875-B09F-110648CF4D1F}" name="Eil. Nr." totalsRowLabel=" " dataDxfId="396" totalsRowDxfId="395"/>
    <tableColumn id="9" xr3:uid="{1F6469BD-ECBC-4094-B4D2-1B6D67E664A3}" name="Filmo pavadinimas" totalsRowLabel="TOTAL" dataDxfId="394" totalsRowDxfId="393"/>
    <tableColumn id="2" xr3:uid="{49D113B3-874E-4C3D-A8BD-A5B28096ED71}" name="Filmo pavadinimas _x000a_originalo kalba" dataDxfId="392" totalsRowDxfId="391"/>
    <tableColumn id="3" xr3:uid="{B7E5DAD2-2D65-41FE-BB0A-AED22C8C523E}" name="_x000a_Pajamos" totalsRowFunction="sum" dataDxfId="390" totalsRowDxfId="389"/>
    <tableColumn id="10" xr3:uid="{EBE321A1-C1EA-449E-8195-58E87FA16ED9}" name=" _x000a_Žiūrovai" totalsRowFunction="sum" dataDxfId="388" totalsRowDxfId="387"/>
    <tableColumn id="6" xr3:uid="{2813E129-CAEE-49FC-96F6-56C45C849DD2}" name="Premjeros data" dataDxfId="386" totalsRowDxfId="385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153057D-B5D3-4736-8D48-DE7402F564BD}" name="Allscreens" displayName="Allscreens" ref="A2:F4" totalsRowCount="1" headerRowDxfId="384" totalsRowDxfId="382" headerRowBorderDxfId="383" totalsRowBorderDxfId="381">
  <tableColumns count="6">
    <tableColumn id="1" xr3:uid="{DF3413C3-5F0E-4753-B2D9-DE669BC38FB9}" name="Eil. Nr." totalsRowLabel=" " dataDxfId="380" totalsRowDxfId="379"/>
    <tableColumn id="9" xr3:uid="{B88B537E-51A2-4E10-A917-33159C40F047}" name="Filmo pavadinimas" totalsRowLabel="TOTAL" dataDxfId="378" totalsRowDxfId="377"/>
    <tableColumn id="2" xr3:uid="{D89F2CA4-BA13-4B49-8CCA-4A93A2F4385A}" name="Filmo pavadinimas _x000a_originalo kalba" dataDxfId="376" totalsRowDxfId="375"/>
    <tableColumn id="3" xr3:uid="{038D10DD-E065-4969-8E35-6CD592CF2AA5}" name="_x000a_Pajamos" totalsRowFunction="sum" dataDxfId="374" totalsRowDxfId="373"/>
    <tableColumn id="10" xr3:uid="{22C4E740-7876-404A-B252-C2B7096548A1}" name=" _x000a_Žiūrovai" totalsRowFunction="sum" dataDxfId="372" totalsRowDxfId="371"/>
    <tableColumn id="6" xr3:uid="{D4A643F6-73AC-49A0-8B30-B58120753340}" name="Premjeros data" dataDxfId="370" totalsRowDxfId="369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D0F0B4-1110-48CD-AC02-0DCF78D9C1D5}" name="BCM" displayName="BCM" ref="A2:F9" totalsRowCount="1" headerRowDxfId="368" totalsRowDxfId="366" headerRowBorderDxfId="367" totalsRowBorderDxfId="365">
  <tableColumns count="6">
    <tableColumn id="1" xr3:uid="{89DDECAE-596B-43BB-ABDB-7AAADABA87A4}" name="Eil. Nr." totalsRowLabel=" " dataDxfId="364" totalsRowDxfId="64"/>
    <tableColumn id="9" xr3:uid="{FE969023-AA3F-4D0B-BAC1-424E46120A98}" name="Filmo pavadinimas" totalsRowLabel="TOTAL" dataDxfId="363" totalsRowDxfId="63"/>
    <tableColumn id="2" xr3:uid="{81109431-0E5D-4450-AB53-BE1585F48D70}" name="Filmo pavadinimas _x000a_originalo kalba" dataDxfId="362" totalsRowDxfId="62"/>
    <tableColumn id="3" xr3:uid="{7DD6E73E-8932-40C0-8CC3-D38F9E73B241}" name="_x000a_Pajamos" totalsRowFunction="sum" dataDxfId="361" totalsRowDxfId="61"/>
    <tableColumn id="10" xr3:uid="{D57B8CA1-78B5-4D11-B8B5-2EDA60F44FEC}" name=" _x000a_Žiūrovai" totalsRowFunction="sum" dataDxfId="360" totalsRowDxfId="60"/>
    <tableColumn id="6" xr3:uid="{394DF9AE-B727-4ABA-B72B-6E7BCD265077}" name="Premjeros data" dataDxfId="359" totalsRowDxfId="5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E811FF5-B997-4DA9-B74F-43FB5905110C}" name="Estinfilm" displayName="Estinfilm" ref="A2:F23" totalsRowCount="1" headerRowDxfId="358" totalsRowDxfId="356" headerRowBorderDxfId="357" totalsRowBorderDxfId="355">
  <sortState xmlns:xlrd2="http://schemas.microsoft.com/office/spreadsheetml/2017/richdata2" ref="A3:F22">
    <sortCondition descending="1" ref="D3:D22"/>
  </sortState>
  <tableColumns count="6">
    <tableColumn id="1" xr3:uid="{5219A536-E4AF-42E3-932C-683F5A684889}" name="Eil. Nr." totalsRowLabel=" " dataDxfId="354" totalsRowDxfId="353"/>
    <tableColumn id="9" xr3:uid="{738EED9A-CB05-422B-8B60-1832CC2FFC15}" name="Filmo pavadinimas" totalsRowLabel="TOTAL" dataDxfId="352" totalsRowDxfId="351"/>
    <tableColumn id="2" xr3:uid="{3480ABA1-CE7D-4220-B44E-3566E3DFC635}" name="Filmo pavadinimas_x000a_ originalo kalba" dataDxfId="350" totalsRowDxfId="349"/>
    <tableColumn id="3" xr3:uid="{A2AFB37B-D3AC-4B6E-A7A0-3A5B83A39758}" name="_x000a_Pajamos" totalsRowFunction="sum" dataDxfId="348" totalsRowDxfId="347"/>
    <tableColumn id="10" xr3:uid="{C3B42497-10B0-4E32-AE58-12E5310D24A1}" name=" _x000a_Žiūrovai" totalsRowFunction="sum" dataDxfId="346" totalsRowDxfId="345"/>
    <tableColumn id="6" xr3:uid="{42C20809-D1CC-417A-8C79-58BAFEAAAA88}" name="Premjeros data" dataDxfId="344" totalsRowDxfId="343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6BFC02C-450C-4E45-B8FE-E538650EAC61}" name="SkalvijosKC" displayName="SkalvijosKC" ref="A2:F19" totalsRowCount="1" headerRowDxfId="342" totalsRowDxfId="340" headerRowBorderDxfId="341" totalsRowBorderDxfId="339">
  <tableColumns count="6">
    <tableColumn id="1" xr3:uid="{D73A81A3-5B42-48FB-9748-F7E2C7D33445}" name="Eil. Nr." dataDxfId="338" totalsRowDxfId="337"/>
    <tableColumn id="9" xr3:uid="{E0DB33B5-C20F-4028-8E30-BFD4DEC822A4}" name="Filmo pavadinimas" totalsRowLabel="TOTAL" dataDxfId="336" totalsRowDxfId="335"/>
    <tableColumn id="2" xr3:uid="{AF01D95E-E32D-4EE0-BA17-E1FF64843F31}" name="Filmo pavadinimas_x000a_ originalo kalba" dataDxfId="334" totalsRowDxfId="333"/>
    <tableColumn id="3" xr3:uid="{FB281EEB-35FD-4B6F-9540-35DD4D05DFBD}" name="_x000a_Pajamos" totalsRowFunction="sum" dataDxfId="332" totalsRowDxfId="331"/>
    <tableColumn id="10" xr3:uid="{92DEC099-AC30-4B3F-9072-87F2DEB5EBAE}" name=" _x000a_Žiūrovai" totalsRowFunction="sum" dataDxfId="330" totalsRowDxfId="329"/>
    <tableColumn id="6" xr3:uid="{8C9E7F2F-4D2E-4C85-B4ED-96BB2AD8A358}" name="Premjeros data" dataDxfId="328" totalsRowDxfId="327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0E4985-D4B4-4462-8A38-812FDD939B7E}" name="UnlimitedMedia" displayName="UnlimitedMedia" ref="A2:F11" totalsRowCount="1" headerRowDxfId="326" totalsRowDxfId="324" headerRowBorderDxfId="325" totalsRowBorderDxfId="323">
  <tableColumns count="6">
    <tableColumn id="1" xr3:uid="{002DF47E-20BC-4037-A4B2-5CE88EFDA972}" name="Eil. Nr." dataDxfId="322" totalsRowDxfId="321"/>
    <tableColumn id="9" xr3:uid="{731675F9-0069-4F9B-B4AD-9340B4309D8E}" name="Filmo pavadinimas" totalsRowLabel="TOTAL" dataDxfId="320" totalsRowDxfId="319"/>
    <tableColumn id="2" xr3:uid="{9779A091-2A40-4871-8A88-8517B369941D}" name="Filmo pavadinimas _x000a_originalo kalba" dataDxfId="318" totalsRowDxfId="317"/>
    <tableColumn id="3" xr3:uid="{C4F2ACDC-A04D-4E18-8ECE-6FD5D381B447}" name="_x000a_Pajamos" totalsRowFunction="sum" dataDxfId="316" totalsRowDxfId="315"/>
    <tableColumn id="10" xr3:uid="{B6FB6B9D-8A14-4273-BE4A-605071F8F665}" name=" _x000a_Žiūrovai" totalsRowFunction="sum" dataDxfId="314" totalsRowDxfId="313"/>
    <tableColumn id="6" xr3:uid="{02CA70C8-8F2A-4820-A926-C449898E82F3}" name="Premjeros data" dataDxfId="312" totalsRowDxfId="311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0C4078-77F7-439C-965D-39862F4CAAAA}" name="Kinopasaka" displayName="Kinopasaka" ref="A2:F6" totalsRowCount="1" headerRowDxfId="310" totalsRowDxfId="308" headerRowBorderDxfId="309" totalsRowBorderDxfId="307">
  <tableColumns count="6">
    <tableColumn id="1" xr3:uid="{75DC5401-5CE3-4FDF-85EE-19F8EAA00824}" name="Eil. Nr." totalsRowLabel=" " dataDxfId="306" totalsRowDxfId="305"/>
    <tableColumn id="9" xr3:uid="{34179FB5-D690-4553-B7F6-C81261A35270}" name="Filmo pavadinimas" totalsRowLabel="TOTAL" dataDxfId="304" totalsRowDxfId="303"/>
    <tableColumn id="2" xr3:uid="{74422ABD-53B3-46A4-B647-7EEFF987B19E}" name="Filmo pavadinimas _x000a_originalo kalba" dataDxfId="302" totalsRowDxfId="301"/>
    <tableColumn id="3" xr3:uid="{8A932D3B-5D1B-47CA-84EB-902CD2FA50FB}" name="_x000a_Pajamos" totalsRowFunction="sum" dataDxfId="300" totalsRowDxfId="299"/>
    <tableColumn id="10" xr3:uid="{DFFF08F0-D89E-4C49-9EA7-D3138CC8C842}" name=" _x000a_Žiūrovai" totalsRowFunction="sum" dataDxfId="298" totalsRowDxfId="297"/>
    <tableColumn id="6" xr3:uid="{66949503-524B-4CE3-BE59-677CDAFDFC1B}" name="Premjeros data" dataDxfId="296" totalsRowDxfId="295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E880551-6E6D-4305-A37F-133B955AEACA}" name="Maoboricomapny" displayName="Maoboricomapny" ref="A2:F4" totalsRowCount="1" headerRowDxfId="294" totalsRowDxfId="292" headerRowBorderDxfId="293" totalsRowBorderDxfId="291">
  <tableColumns count="6">
    <tableColumn id="1" xr3:uid="{168403D8-C858-4A19-8C45-288EB336A6E8}" name="Eil. Nr." totalsRowLabel=" " dataDxfId="290" totalsRowDxfId="289"/>
    <tableColumn id="9" xr3:uid="{E536F5AF-90F6-4FEE-9E4D-2D0998BDE1C1}" name="Filmo pavadinimas" totalsRowLabel="TOTAL" dataDxfId="288" totalsRowDxfId="287"/>
    <tableColumn id="2" xr3:uid="{DA383D50-A090-48D0-B83C-2B4B4AFCDAEB}" name="Filmo pavadinimas _x000a_originalo kalba" dataDxfId="286" totalsRowDxfId="285"/>
    <tableColumn id="3" xr3:uid="{3DD40C59-9856-4603-AA69-8BEC6D32178D}" name="_x000a_Pajamos" totalsRowFunction="sum" dataDxfId="284" totalsRowDxfId="283"/>
    <tableColumn id="10" xr3:uid="{B621CE9E-3ED3-44FD-BF56-7E1DC3DA7F9F}" name=" _x000a_Žiūrovai" totalsRowFunction="sum" dataDxfId="282" totalsRowDxfId="281"/>
    <tableColumn id="6" xr3:uid="{DC023CC9-994A-4394-AEE1-C44EF8856EB8}" name="Premjeros data" dataDxfId="280" totalsRowDxfId="279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04D5A4F-EEC7-41C9-B74F-AFC0D2CCC5E9}" name="KCGarsas" displayName="KCGarsas" ref="A2:F20" totalsRowCount="1" headerRowDxfId="278" totalsRowDxfId="276" headerRowBorderDxfId="277" totalsRowBorderDxfId="275">
  <tableColumns count="6">
    <tableColumn id="1" xr3:uid="{336B7551-741D-4728-BA09-2007CF8CAB31}" name="Eil. Nr." dataDxfId="274" totalsRowDxfId="273"/>
    <tableColumn id="9" xr3:uid="{65D1F0E6-C75E-43E9-A066-F4BA30E4A00C}" name="Filmo pavadinimas" totalsRowLabel="TOTAL" dataDxfId="272" totalsRowDxfId="271"/>
    <tableColumn id="2" xr3:uid="{8AEDE9F5-3D0F-4B01-936B-5B99ABD307A6}" name="Filmo pavadinimas _x000a_originalo kalba" dataDxfId="270" totalsRowDxfId="269"/>
    <tableColumn id="3" xr3:uid="{11E6C8E7-F831-4F64-9178-ABA8F4D34C3E}" name="_x000a_Pajamos" totalsRowFunction="sum" dataDxfId="268" totalsRowDxfId="267"/>
    <tableColumn id="10" xr3:uid="{CEF4C660-343B-4787-BC77-7C0ABF4C0B7B}" name=" _x000a_Žiūrovai" totalsRowFunction="sum" dataDxfId="266" totalsRowDxfId="265"/>
    <tableColumn id="6" xr3:uid="{5F001A24-994F-40A6-BFCC-447384D8D449}" name="Premjeros data" dataDxfId="264" totalsRowDxfId="263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6D3312-EC55-4072-A522-E7B57D7ADA38}" name="GretaGarboFilms" displayName="GretaGarboFilms" ref="A2:F8" totalsRowCount="1" headerRowDxfId="262" totalsRowDxfId="260" headerRowBorderDxfId="261" totalsRowBorderDxfId="259">
  <tableColumns count="6">
    <tableColumn id="1" xr3:uid="{7B1EDC5C-8718-4638-8039-B29FB3CC59A1}" name="Eil. Nr." totalsRowLabel=" " dataDxfId="258" totalsRowDxfId="257"/>
    <tableColumn id="9" xr3:uid="{01F88CD4-9883-4D28-BA18-D5F7E4EDFF15}" name="Filmo pavadinimas" totalsRowLabel="TOTAL" dataDxfId="256" totalsRowDxfId="255"/>
    <tableColumn id="2" xr3:uid="{428DAC74-B590-4837-8CA5-4517CCD783FF}" name="Filmo pavadinimas _x000a_originalo kalba" dataDxfId="254" totalsRowDxfId="253"/>
    <tableColumn id="3" xr3:uid="{873F8C99-18D7-4978-BCBB-A71141C5BADE}" name="_x000a_Pajamos" totalsRowFunction="sum" dataDxfId="252" totalsRowDxfId="251"/>
    <tableColumn id="10" xr3:uid="{E5D62E40-9043-458C-B5D5-DA2AE6B5936E}" name=" _x000a_Žiūrovai" totalsRowFunction="sum" dataDxfId="250" totalsRowDxfId="249"/>
    <tableColumn id="6" xr3:uid="{203DC9CF-6DE4-40C5-8BD4-9230A9AE65C3}" name="Premjeros data" dataDxfId="248" totalsRowDxfId="247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B6A27D6-B40F-451E-AA8B-97E2A4CD3AD7}" name="Taiptoliau" displayName="Taiptoliau" ref="A2:F8" totalsRowCount="1" headerRowDxfId="246" totalsRowDxfId="244" headerRowBorderDxfId="245" totalsRowBorderDxfId="243">
  <tableColumns count="6">
    <tableColumn id="1" xr3:uid="{6D331179-AA7D-4706-8976-81FAEC812A63}" name="Eil. Nr." totalsRowLabel=" " dataDxfId="242" totalsRowDxfId="241"/>
    <tableColumn id="9" xr3:uid="{83F66719-267A-4D06-88EC-397378A1AAA6}" name="Filmo pavadinimas" totalsRowLabel="TOTAL" dataDxfId="240" totalsRowDxfId="239"/>
    <tableColumn id="2" xr3:uid="{98E146CA-BDBE-40F3-80BD-2255E3B07290}" name="Filmo pavadinimas _x000a_originalo kalba" dataDxfId="238" totalsRowDxfId="237"/>
    <tableColumn id="3" xr3:uid="{30B7E3E2-8D87-47C9-B850-2B2996C62FD3}" name="_x000a_Pajamos" totalsRowFunction="sum" dataDxfId="236" totalsRowDxfId="235"/>
    <tableColumn id="10" xr3:uid="{63F32785-1D76-43F2-BCF2-241CCCDC5098}" name=" _x000a_Žiūrovai" totalsRowFunction="sum" dataDxfId="234" totalsRowDxfId="233"/>
    <tableColumn id="6" xr3:uid="{D7B4D431-7DE5-403C-9955-541E85CC67AC}" name="Premjeros data" dataDxfId="232" totalsRowDxfId="231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089D820-888F-404D-A1C3-F33392F30AF6}" name="Zerocopy" displayName="Zerocopy" ref="A2:F4" totalsRowCount="1" headerRowDxfId="230" totalsRowDxfId="228" headerRowBorderDxfId="229" totalsRowBorderDxfId="227">
  <tableColumns count="6">
    <tableColumn id="1" xr3:uid="{15B23729-88FF-4F14-9748-943A00D1D264}" name="Eil. Nr." totalsRowLabel=" " dataDxfId="226" totalsRowDxfId="225"/>
    <tableColumn id="9" xr3:uid="{F893B740-A88B-4188-B15C-46FBA7037ABC}" name="Filmo pavadinimas" totalsRowLabel="TOTAL" dataDxfId="224" totalsRowDxfId="223"/>
    <tableColumn id="2" xr3:uid="{214E2884-9CF0-49BB-8EA4-B805712CFE67}" name="Filmo pavadinimas _x000a_originalo kalba" dataDxfId="222" totalsRowDxfId="221"/>
    <tableColumn id="3" xr3:uid="{0F564D93-54EF-4FEA-9F81-604FE8669AF7}" name="_x000a_Pajamos" totalsRowFunction="sum" dataDxfId="220" totalsRowDxfId="219"/>
    <tableColumn id="10" xr3:uid="{2B749515-7278-4D7D-AFD0-A41552D178D4}" name=" _x000a_Žiūrovai" totalsRowFunction="sum" dataDxfId="218" totalsRowDxfId="217"/>
    <tableColumn id="6" xr3:uid="{C8421B3A-FDA0-47C7-A5AB-A0E53D8607E8}" name="Premjeros data" dataDxfId="216" totalsRowDxfId="215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647820-D0DB-4674-97AE-BDB06B247860}" name="BroomFilms" displayName="BroomFilms" ref="A2:F7" totalsRowCount="1" headerRowDxfId="214" totalsRowDxfId="212" headerRowBorderDxfId="213" totalsRowBorderDxfId="211">
  <tableColumns count="6">
    <tableColumn id="1" xr3:uid="{9E2A23A4-7D04-4E6C-91EF-5BAA2AFD0DDB}" name="Eil. Nr." totalsRowLabel=" " dataDxfId="210" totalsRowDxfId="25"/>
    <tableColumn id="9" xr3:uid="{24C943AE-62F3-4B82-BE6C-199BE9D41824}" name="Filmo pavadinimas" totalsRowLabel="TOTAL" dataDxfId="209" totalsRowDxfId="24"/>
    <tableColumn id="2" xr3:uid="{1A28B6DF-0F60-4388-A954-892DDDDE05F3}" name="Column1" dataDxfId="208" totalsRowDxfId="23"/>
    <tableColumn id="3" xr3:uid="{D54582AA-7EBF-4AF9-8E7D-7F59BF416C84}" name="_x000a_Pajamos" totalsRowFunction="sum" dataDxfId="207" totalsRowDxfId="22"/>
    <tableColumn id="10" xr3:uid="{FBED08A4-9FF3-44EE-A117-0E4D32B228A0}" name=" _x000a_Žiūrovai" totalsRowFunction="sum" dataDxfId="206" totalsRowDxfId="21"/>
    <tableColumn id="6" xr3:uid="{B4B58669-BBB6-479C-9F50-488BD0D70EB9}" name="Premjeros data" dataDxfId="205" totalsRowDxfId="2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0251F9-6F54-40B2-94D0-87E996D62DD8}" name="Maoboricomapny16" displayName="Maoboricomapny16" ref="A2:F4" totalsRowCount="1" headerRowDxfId="204" totalsRowDxfId="202" headerRowBorderDxfId="203" totalsRowBorderDxfId="201">
  <tableColumns count="6">
    <tableColumn id="1" xr3:uid="{2C27847C-CB76-4612-AA16-4F0C4F2F7E64}" name="Eil. Nr." totalsRowLabel=" " dataDxfId="200" totalsRowDxfId="199"/>
    <tableColumn id="9" xr3:uid="{A2C810DA-C93C-4F3E-BF9D-4F868A521939}" name="Filmo pavadinimas" totalsRowLabel="TOTAL" dataDxfId="198" totalsRowDxfId="197"/>
    <tableColumn id="2" xr3:uid="{47E6ED92-3A15-4497-A8AA-5DBF0406436C}" name="Filmo pavadinimas _x000a_originalo kalba" dataDxfId="196" totalsRowDxfId="195"/>
    <tableColumn id="3" xr3:uid="{8B1963B2-5275-41B0-8889-3331C9CC62BE}" name="_x000a_Pajamos" totalsRowFunction="sum" dataDxfId="194" totalsRowDxfId="193"/>
    <tableColumn id="10" xr3:uid="{F6780C37-6F83-48CD-9E5B-366A2DAE7789}" name=" _x000a_Žiūrovai" totalsRowFunction="sum" dataDxfId="192" totalsRowDxfId="191"/>
    <tableColumn id="6" xr3:uid="{AD379D6D-1040-46A3-9A52-C415C8E67BD0}" name="Premjeros data" dataDxfId="190" totalsRowDxfId="189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AEBC67F-6282-4DF4-AD47-CDD92EF24E4B}" name="Špikis" displayName="Špikis" ref="A2:F4" totalsRowCount="1" headerRowDxfId="188" totalsRowDxfId="186" headerRowBorderDxfId="187" totalsRowBorderDxfId="185">
  <tableColumns count="6">
    <tableColumn id="1" xr3:uid="{79E94AF4-7EFC-4B8D-9EA5-E4AC56CE699C}" name="Eil. Nr." totalsRowLabel=" " dataDxfId="184" totalsRowDxfId="183"/>
    <tableColumn id="9" xr3:uid="{4776A195-9645-49CD-A41F-91CC3417B554}" name="Filmo pavadinimas" totalsRowLabel="TOTAL" dataDxfId="182" totalsRowDxfId="181"/>
    <tableColumn id="2" xr3:uid="{2494D1D2-9975-4FCD-A8AC-6FA4B745CB05}" name="Filmo pavadinimas _x000a_originalo kalba" dataDxfId="180" totalsRowDxfId="179"/>
    <tableColumn id="3" xr3:uid="{130ACA71-2947-420A-8388-37D416790E3E}" name="_x000a_Pajamos" totalsRowFunction="sum" dataDxfId="178" totalsRowDxfId="177"/>
    <tableColumn id="10" xr3:uid="{1FD3E280-A21D-4FDB-B244-6CF1C20781F4}" name=" _x000a_Žiūrovai" totalsRowFunction="sum" dataDxfId="176" totalsRowDxfId="175"/>
    <tableColumn id="6" xr3:uid="{D0A76287-9341-4996-92CE-22729A644107}" name="Premjeros data" dataDxfId="174" totalsRowDxfId="173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7D69534-44FD-40EC-AE39-5940181A2D81}" name="Naratyvas" displayName="Naratyvas" ref="A2:F4" totalsRowCount="1" headerRowDxfId="172" totalsRowDxfId="170" headerRowBorderDxfId="171" totalsRowBorderDxfId="169">
  <tableColumns count="6">
    <tableColumn id="1" xr3:uid="{82C1598B-3B3E-41AF-AD6F-FEE76179D5F5}" name="Eil. Nr." totalsRowLabel=" " dataDxfId="168" totalsRowDxfId="167"/>
    <tableColumn id="9" xr3:uid="{9AEA1A8B-B0EE-4DF2-9092-D9775E59C4C9}" name="Filmo pavadinimas" totalsRowLabel="TOTAL" dataDxfId="166" totalsRowDxfId="165"/>
    <tableColumn id="2" xr3:uid="{69DAD579-7DD7-429D-ABD8-0F14C10F16A1}" name="Filmo pavadinimas _x000a_originalo kalba" dataDxfId="164" totalsRowDxfId="163"/>
    <tableColumn id="3" xr3:uid="{1350AAB1-0633-461B-BD1D-BE280BD95D2C}" name="_x000a_Pajamos" totalsRowFunction="sum" dataDxfId="162" totalsRowDxfId="161"/>
    <tableColumn id="10" xr3:uid="{87C4D196-2D30-468F-8D22-64C9AE810814}" name=" _x000a_Žiūrovai" totalsRowFunction="sum" dataDxfId="160" totalsRowDxfId="159"/>
    <tableColumn id="6" xr3:uid="{A724D18D-02E8-44ED-B865-7CA83E5985A4}" name="Premjeros data" dataDxfId="158" totalsRowDxfId="157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595F377-79C0-4844-8148-9242BC194530}" name="Artbox" displayName="Artbox" ref="A2:F5" totalsRowCount="1" headerRowDxfId="156" totalsRowDxfId="154" headerRowBorderDxfId="155" totalsRowBorderDxfId="153">
  <tableColumns count="6">
    <tableColumn id="1" xr3:uid="{F3A78FDB-AE41-4AEA-9B2A-01DABA354E29}" name="Eil. Nr." totalsRowLabel=" " dataDxfId="152" totalsRowDxfId="19"/>
    <tableColumn id="9" xr3:uid="{27E56390-6B07-4D1C-ADBE-B07B379EDA2F}" name="Filmo pavadinimas" totalsRowLabel="TOTAL" dataDxfId="151" totalsRowDxfId="18"/>
    <tableColumn id="2" xr3:uid="{F8FAA82B-4DC6-4B8A-832C-76FCF90D1434}" name="Filmo pavadinimas _x000a_originalo kalba" dataDxfId="150" totalsRowDxfId="17"/>
    <tableColumn id="3" xr3:uid="{FA830082-DAA0-4D8D-B4AF-2383EA857B79}" name="_x000a_Pajamos" totalsRowFunction="sum" dataDxfId="149" totalsRowDxfId="16"/>
    <tableColumn id="10" xr3:uid="{773A6A7B-5CB7-4AEA-ABE1-57E764C76261}" name=" _x000a_Žiūrovai" totalsRowFunction="sum" dataDxfId="148" totalsRowDxfId="15"/>
    <tableColumn id="6" xr3:uid="{0A034531-7734-4027-9BE7-969E0025A55F}" name="Premjeros data" dataDxfId="147" totalsRowDxfId="1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A68EC6E-439D-43C4-8462-B5F480E0A792}" name="Monoklis" displayName="Monoklis" ref="A2:F4" totalsRowCount="1" headerRowDxfId="146" totalsRowDxfId="144" headerRowBorderDxfId="145" totalsRowBorderDxfId="143">
  <tableColumns count="6">
    <tableColumn id="1" xr3:uid="{85350150-D7F5-44BC-B789-BF3F8085139B}" name="Eil. Nr." totalsRowLabel=" " dataDxfId="142" totalsRowDxfId="141"/>
    <tableColumn id="9" xr3:uid="{E448430F-E9B1-4454-BD73-442D43BE9EB1}" name="Filmo pavadinimas" totalsRowLabel="TOTAL" dataDxfId="140" totalsRowDxfId="139"/>
    <tableColumn id="2" xr3:uid="{0EA787B5-3EC6-42C0-907C-1472B0E2F804}" name="Filmo pavadinimas _x000a_originalo kalba" dataDxfId="138" totalsRowDxfId="137"/>
    <tableColumn id="3" xr3:uid="{E1621E15-E915-4395-9A03-F3E9E3F0A6C0}" name="_x000a_Pajamos" totalsRowFunction="sum" dataDxfId="136" totalsRowDxfId="135"/>
    <tableColumn id="10" xr3:uid="{0AEDE7DB-886C-45F8-B623-B9FBEBA8A632}" name=" _x000a_Žiūrovai" totalsRowFunction="sum" dataDxfId="134" totalsRowDxfId="133"/>
    <tableColumn id="6" xr3:uid="{1865F378-9AF1-4D51-98C0-F4BE525E9039}" name="Premjeros data" dataDxfId="132" totalsRowDxfId="131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8BE306A-44EE-4F3E-8ABC-D8A4D8CF276C}" name="StudioNominum" displayName="StudioNominum" ref="A2:F4" totalsRowCount="1" headerRowDxfId="130" totalsRowDxfId="128" headerRowBorderDxfId="129" totalsRowBorderDxfId="127">
  <tableColumns count="6">
    <tableColumn id="1" xr3:uid="{CAF40A72-0AE3-49E5-81AF-F8F3201C06C8}" name="Eil. Nr." totalsRowLabel=" " dataDxfId="126" totalsRowDxfId="125"/>
    <tableColumn id="9" xr3:uid="{3199CEFC-A40D-4CD0-BDED-A625C13D3E17}" name="Filmo pavadinimas" totalsRowLabel="TOTAL" dataDxfId="124" totalsRowDxfId="123"/>
    <tableColumn id="2" xr3:uid="{714D2B03-8D90-4EEF-B9CA-519C3C9400DE}" name="Filmo pavadinimas _x000a_originalo kalba" dataDxfId="122" totalsRowDxfId="121"/>
    <tableColumn id="3" xr3:uid="{46DB0EF7-3B3A-4B31-9A47-DA720340FEA5}" name="_x000a_Pajamos" totalsRowFunction="sum" dataDxfId="120" totalsRowDxfId="119"/>
    <tableColumn id="10" xr3:uid="{119F2DA9-CDF6-4C6E-8FC0-B92D36DA146E}" name=" _x000a_Žiūrovai" totalsRowFunction="sum" dataDxfId="118" totalsRowDxfId="117"/>
    <tableColumn id="6" xr3:uid="{8013C48E-17C0-4570-8F46-78EE0654EC2C}" name="Premjeros data" dataDxfId="116" totalsRowDxfId="115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1EFB003-6087-42D0-825A-976637685BEC}" name="MFilms" displayName="MFilms" ref="A2:F5" totalsRowCount="1" headerRowDxfId="114" totalsRowDxfId="112" headerRowBorderDxfId="113" totalsRowBorderDxfId="111">
  <tableColumns count="6">
    <tableColumn id="1" xr3:uid="{DAA579AF-23C1-4466-89B5-A1D8EF93C5FD}" name="Eil. Nr." totalsRowLabel=" " dataDxfId="110" totalsRowDxfId="109"/>
    <tableColumn id="9" xr3:uid="{2D7EA561-6016-4A09-AE00-58B7D6B8B419}" name="Filmo pavadinimas" totalsRowLabel="TOTAL" dataDxfId="108" totalsRowDxfId="107"/>
    <tableColumn id="2" xr3:uid="{DD293BEB-B088-46F2-B30E-0163BB4A410E}" name="Filmo pavadinimas _x000a_originalo kalba" dataDxfId="106" totalsRowDxfId="105"/>
    <tableColumn id="3" xr3:uid="{25731428-DFF8-49C0-B00F-059AEC89FC11}" name="_x000a_Pajamos" totalsRowFunction="sum" dataDxfId="104" totalsRowDxfId="103"/>
    <tableColumn id="10" xr3:uid="{7BC1DA8D-3893-4EAF-B393-B7C9C740F3DD}" name=" _x000a_Žiūrovai" totalsRowFunction="sum" dataDxfId="102" totalsRowDxfId="101"/>
    <tableColumn id="6" xr3:uid="{4D373C7E-35DB-4220-9D87-0DC59319C72B}" name="Premjeros data" dataDxfId="100" totalsRowDxfId="9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6D0A7"/>
  </sheetPr>
  <dimension ref="A1:G80"/>
  <sheetViews>
    <sheetView tabSelected="1" topLeftCell="A48" zoomScale="70" zoomScaleNormal="70" workbookViewId="0">
      <selection activeCell="E32" sqref="E32"/>
    </sheetView>
  </sheetViews>
  <sheetFormatPr defaultColWidth="0" defaultRowHeight="12" zeroHeight="1" x14ac:dyDescent="0.2"/>
  <cols>
    <col min="1" max="1" width="15.7109375" customWidth="1"/>
    <col min="2" max="2" width="35.5703125" customWidth="1"/>
    <col min="3" max="3" width="35.5703125" style="7" customWidth="1"/>
    <col min="4" max="4" width="35.5703125" style="8" customWidth="1"/>
    <col min="5" max="5" width="15.7109375" customWidth="1"/>
    <col min="6" max="7" width="15.7109375" style="45" customWidth="1"/>
    <col min="8" max="16384" width="9.140625" hidden="1"/>
  </cols>
  <sheetData>
    <row r="1" spans="1:7" ht="26.1" customHeight="1" x14ac:dyDescent="0.2">
      <c r="A1" s="163" t="s">
        <v>71</v>
      </c>
      <c r="B1" s="163"/>
      <c r="C1" s="163"/>
      <c r="D1" s="163"/>
      <c r="E1" s="163"/>
      <c r="F1" s="163"/>
      <c r="G1" s="164"/>
    </row>
    <row r="2" spans="1:7" ht="28.5" customHeight="1" x14ac:dyDescent="0.2">
      <c r="A2" s="1" t="s">
        <v>5</v>
      </c>
      <c r="B2" s="1" t="s">
        <v>0</v>
      </c>
      <c r="C2" s="5" t="s">
        <v>19</v>
      </c>
      <c r="D2" s="2" t="s">
        <v>1</v>
      </c>
      <c r="E2" s="1" t="s">
        <v>2</v>
      </c>
      <c r="F2" s="41" t="s">
        <v>513</v>
      </c>
      <c r="G2" s="41" t="s">
        <v>514</v>
      </c>
    </row>
    <row r="3" spans="1:7" ht="26.1" customHeight="1" x14ac:dyDescent="0.2">
      <c r="A3" s="9">
        <v>1</v>
      </c>
      <c r="B3" s="3" t="s">
        <v>6</v>
      </c>
      <c r="C3" s="6">
        <f>'ACME Film'!D93</f>
        <v>7421166.2799999993</v>
      </c>
      <c r="D3" s="4">
        <f>'ACME Film'!E93</f>
        <v>1126358</v>
      </c>
      <c r="E3" s="3">
        <f>'ACME Film'!A89</f>
        <v>87</v>
      </c>
      <c r="F3" s="42">
        <f>(Table1[[#This Row],[Pajamos  ]]/Table1[[#Totals],[Pajamos  ]])*100%</f>
        <v>0.31533121369588285</v>
      </c>
      <c r="G3" s="42">
        <f>(Table1[[#This Row],[Žiūrovų skaičius]]/Table1[[#Totals],[Žiūrovų skaičius]])*100%</f>
        <v>0.30934365835585842</v>
      </c>
    </row>
    <row r="4" spans="1:7" ht="26.1" customHeight="1" x14ac:dyDescent="0.2">
      <c r="A4" s="9">
        <v>2</v>
      </c>
      <c r="B4" s="9" t="s">
        <v>16</v>
      </c>
      <c r="C4" s="10">
        <f>'Dukine Film Distribution'!D40</f>
        <v>4703320.8600000013</v>
      </c>
      <c r="D4" s="11">
        <f>'Dukine Film Distribution'!E40</f>
        <v>762763</v>
      </c>
      <c r="E4" s="9">
        <v>34</v>
      </c>
      <c r="F4" s="43">
        <f>(Table1[[#This Row],[Pajamos  ]]/Table1[[#Totals],[Pajamos  ]])*100%</f>
        <v>0.19984781626331705</v>
      </c>
      <c r="G4" s="42">
        <f>(Table1[[#This Row],[Žiūrovų skaičius]]/Table1[[#Totals],[Žiūrovų skaičius]])*100%</f>
        <v>0.20948570248401455</v>
      </c>
    </row>
    <row r="5" spans="1:7" ht="26.1" customHeight="1" x14ac:dyDescent="0.2">
      <c r="A5" s="9">
        <v>3</v>
      </c>
      <c r="B5" s="9" t="s">
        <v>28</v>
      </c>
      <c r="C5" s="10">
        <f>'Theatrical Film Distribution'!D34</f>
        <v>4122174.86</v>
      </c>
      <c r="D5" s="11">
        <f>'Theatrical Film Distribution'!E34</f>
        <v>643724</v>
      </c>
      <c r="E5" s="9">
        <f>'Theatrical Film Distribution'!A30</f>
        <v>28</v>
      </c>
      <c r="F5" s="43">
        <f>(Table1[[#This Row],[Pajamos  ]]/Table1[[#Totals],[Pajamos  ]])*100%</f>
        <v>0.17515446395178413</v>
      </c>
      <c r="G5" s="42">
        <f>(Table1[[#This Row],[Žiūrovų skaičius]]/Table1[[#Totals],[Žiūrovų skaičius]])*100%</f>
        <v>0.17679275783673273</v>
      </c>
    </row>
    <row r="6" spans="1:7" ht="26.1" customHeight="1" x14ac:dyDescent="0.2">
      <c r="A6" s="9">
        <v>4</v>
      </c>
      <c r="B6" s="9" t="s">
        <v>32</v>
      </c>
      <c r="C6" s="10">
        <f>Vabalofilmai[[#Totals],[
Pajamos]]</f>
        <v>2344922</v>
      </c>
      <c r="D6" s="11">
        <f>Vabalofilmai[[#Totals],[ 
Žiūrovai]]</f>
        <v>324854</v>
      </c>
      <c r="E6" s="9">
        <f>' Vabalo filmai'!A5</f>
        <v>3</v>
      </c>
      <c r="F6" s="43">
        <f>(Table1[[#This Row],[Pajamos  ]]/Table1[[#Totals],[Pajamos  ]])*100%</f>
        <v>9.9637586921469304E-2</v>
      </c>
      <c r="G6" s="42">
        <f>(Table1[[#This Row],[Žiūrovų skaičius]]/Table1[[#Totals],[Žiūrovų skaičius]])*100%</f>
        <v>8.9218103650468186E-2</v>
      </c>
    </row>
    <row r="7" spans="1:7" ht="26.1" customHeight="1" x14ac:dyDescent="0.2">
      <c r="A7" s="9">
        <v>5</v>
      </c>
      <c r="B7" s="9" t="s">
        <v>72</v>
      </c>
      <c r="C7" s="10">
        <f>Valujavičiauskelionės[[#Totals],[
Pajamos]]</f>
        <v>1319613.58</v>
      </c>
      <c r="D7" s="11">
        <f>Valujavičiauskelionės[[#Totals],[ 
Žiūrovai]]</f>
        <v>195397</v>
      </c>
      <c r="E7" s="9" cm="1">
        <f t="array" ref="E7">Valujavičiauskelionės[Eil. Nr.]</f>
        <v>1</v>
      </c>
      <c r="F7" s="43">
        <f>(Table1[[#This Row],[Pajamos  ]]/Table1[[#Totals],[Pajamos  ]])*100%</f>
        <v>5.6071422750949201E-2</v>
      </c>
      <c r="G7" s="42">
        <f>(Table1[[#This Row],[Žiūrovų skaičius]]/Table1[[#Totals],[Žiūrovų skaičius]])*100%</f>
        <v>5.3663953034257021E-2</v>
      </c>
    </row>
    <row r="8" spans="1:7" ht="26.1" customHeight="1" x14ac:dyDescent="0.2">
      <c r="A8" s="9">
        <v>6</v>
      </c>
      <c r="B8" s="9" t="s">
        <v>15</v>
      </c>
      <c r="C8" s="10">
        <f>CinemaAds[[#Totals],[
Pajamos]]</f>
        <v>844943.79</v>
      </c>
      <c r="D8" s="11">
        <f>CinemaAds[[#Totals],[ 
Žiūrovai]]</f>
        <v>118879</v>
      </c>
      <c r="E8" s="9">
        <f>'Cinema Ads'!A5</f>
        <v>3</v>
      </c>
      <c r="F8" s="43">
        <f>(Table1[[#This Row],[Pajamos  ]]/Table1[[#Totals],[Pajamos  ]])*100%</f>
        <v>3.5902328657362897E-2</v>
      </c>
      <c r="G8" s="42">
        <f>(Table1[[#This Row],[Žiūrovų skaičius]]/Table1[[#Totals],[Žiūrovų skaičius]])*100%</f>
        <v>3.2649002148238924E-2</v>
      </c>
    </row>
    <row r="9" spans="1:7" ht="26.1" customHeight="1" x14ac:dyDescent="0.2">
      <c r="A9" s="9">
        <v>7</v>
      </c>
      <c r="B9" s="9" t="s">
        <v>8</v>
      </c>
      <c r="C9" s="10">
        <f>Table356789[[#Totals],[
Pajamos]]</f>
        <v>732302.99000000011</v>
      </c>
      <c r="D9" s="11">
        <f>Table356789[[#Totals],[ 
Žiūrovai]]</f>
        <v>124249</v>
      </c>
      <c r="E9" s="9">
        <f>'Adastra Cinema'!A25</f>
        <v>23</v>
      </c>
      <c r="F9" s="43">
        <f>(Table1[[#This Row],[Pajamos  ]]/Table1[[#Totals],[Pajamos  ]])*100%</f>
        <v>3.1116132143831174E-2</v>
      </c>
      <c r="G9" s="42">
        <f>(Table1[[#This Row],[Žiūrovų skaičius]]/Table1[[#Totals],[Žiūrovų skaičius]])*100%</f>
        <v>3.4123822272365496E-2</v>
      </c>
    </row>
    <row r="10" spans="1:7" ht="26.1" customHeight="1" x14ac:dyDescent="0.2">
      <c r="A10" s="9">
        <v>8</v>
      </c>
      <c r="B10" s="9" t="s">
        <v>20</v>
      </c>
      <c r="C10" s="10">
        <f>GPI[[#Totals],[
Pajamos]]</f>
        <v>481003.4</v>
      </c>
      <c r="D10" s="11">
        <f>GPI[[#Totals],[ 
Žiūrovai]]</f>
        <v>85949</v>
      </c>
      <c r="E10" s="9">
        <f>'Garsų pasaulio įrašai'!A27</f>
        <v>25</v>
      </c>
      <c r="F10" s="43">
        <f>(Table1[[#This Row],[Pajamos  ]]/Table1[[#Totals],[Pajamos  ]])*100%</f>
        <v>2.0438214182400213E-2</v>
      </c>
      <c r="G10" s="42">
        <f>(Table1[[#This Row],[Žiūrovų skaičius]]/Table1[[#Totals],[Žiūrovų skaičius]])*100%</f>
        <v>2.360508656397671E-2</v>
      </c>
    </row>
    <row r="11" spans="1:7" ht="26.1" customHeight="1" x14ac:dyDescent="0.2">
      <c r="A11" s="9">
        <v>9</v>
      </c>
      <c r="B11" s="9" t="s">
        <v>18</v>
      </c>
      <c r="C11" s="17">
        <f>Europoskinas[[#Totals],[
Pajamos]]</f>
        <v>448207.58000000007</v>
      </c>
      <c r="D11" s="18">
        <f>Europoskinas[[#Totals],[ 
Žiūrovai]]</f>
        <v>66262</v>
      </c>
      <c r="E11" s="19">
        <f>'Europos kinas'!A51</f>
        <v>49</v>
      </c>
      <c r="F11" s="43">
        <f>(Table1[[#This Row],[Pajamos  ]]/Table1[[#Totals],[Pajamos  ]])*100%</f>
        <v>1.9044693900740161E-2</v>
      </c>
      <c r="G11" s="42">
        <f>(Table1[[#This Row],[Žiūrovų skaičius]]/Table1[[#Totals],[Žiūrovų skaičius]])*100%</f>
        <v>1.8198236697369658E-2</v>
      </c>
    </row>
    <row r="12" spans="1:7" ht="26.1" customHeight="1" x14ac:dyDescent="0.2">
      <c r="A12" s="9">
        <v>10</v>
      </c>
      <c r="B12" s="9" t="s">
        <v>25</v>
      </c>
      <c r="C12" s="10">
        <f>Pomokyklos[[#Totals],[
Pajamos]]</f>
        <v>292423.93000000005</v>
      </c>
      <c r="D12" s="11">
        <f>Pomokyklos[[#Totals],[ 
Žiūrovai]]</f>
        <v>42681</v>
      </c>
      <c r="E12" s="9" cm="1">
        <f t="array" ref="E12">Pomokyklos[Eil. Nr.]</f>
        <v>1</v>
      </c>
      <c r="F12" s="43">
        <f>(Table1[[#This Row],[Pajamos  ]]/Table1[[#Totals],[Pajamos  ]])*100%</f>
        <v>1.2425323632637956E-2</v>
      </c>
      <c r="G12" s="42">
        <f>(Table1[[#This Row],[Žiūrovų skaičius]]/Table1[[#Totals],[Žiūrovų skaičius]])*100%</f>
        <v>1.1721936260306575E-2</v>
      </c>
    </row>
    <row r="13" spans="1:7" ht="26.1" customHeight="1" x14ac:dyDescent="0.2">
      <c r="A13" s="9">
        <v>11</v>
      </c>
      <c r="B13" s="9" t="s">
        <v>10</v>
      </c>
      <c r="C13" s="10">
        <f>Table3567891011[[#Totals],[
Pajamos]]</f>
        <v>183152.51</v>
      </c>
      <c r="D13" s="11">
        <f>Table3567891011[[#Totals],[ 
Žiūrovai]]</f>
        <v>30801</v>
      </c>
      <c r="E13" s="9">
        <f>'A-One Films'!A23</f>
        <v>21</v>
      </c>
      <c r="F13" s="43">
        <f>(Table1[[#This Row],[Pajamos  ]]/Table1[[#Totals],[Pajamos  ]])*100%</f>
        <v>7.7822947351810752E-3</v>
      </c>
      <c r="G13" s="42">
        <f>(Table1[[#This Row],[Žiūrovų skaičius]]/Table1[[#Totals],[Žiūrovų skaičius]])*100%</f>
        <v>8.4592057063729263E-3</v>
      </c>
    </row>
    <row r="14" spans="1:7" ht="26.1" customHeight="1" x14ac:dyDescent="0.2">
      <c r="A14" s="9">
        <v>12</v>
      </c>
      <c r="B14" s="9" t="s">
        <v>13</v>
      </c>
      <c r="C14" s="10">
        <f>BestFilm[[#Totals],[
Pajamos]]</f>
        <v>105925.43</v>
      </c>
      <c r="D14" s="11">
        <f>BestFilm[[#Totals],[ 
Žiūrovai]]</f>
        <v>18531</v>
      </c>
      <c r="E14" s="9">
        <f>'Best Film'!A18</f>
        <v>16</v>
      </c>
      <c r="F14" s="43">
        <f>(Table1[[#This Row],[Pajamos  ]]/Table1[[#Totals],[Pajamos  ]])*100%</f>
        <v>4.5008551409466977E-3</v>
      </c>
      <c r="G14" s="42">
        <f>(Table1[[#This Row],[Žiūrovų skaičius]]/Table1[[#Totals],[Žiūrovų skaičius]])*100%</f>
        <v>5.089365311022262E-3</v>
      </c>
    </row>
    <row r="15" spans="1:7" ht="26.1" customHeight="1" x14ac:dyDescent="0.2">
      <c r="A15" s="9">
        <v>13</v>
      </c>
      <c r="B15" s="9" t="s">
        <v>29</v>
      </c>
      <c r="C15" s="10">
        <f>Travolta[[#Totals],[
Pajamos]]</f>
        <v>100036.76</v>
      </c>
      <c r="D15" s="11">
        <f>Travolta[[#Totals],[ 
Žiūrovai]]</f>
        <v>15070</v>
      </c>
      <c r="E15" s="9">
        <f>Travolta!A10</f>
        <v>8</v>
      </c>
      <c r="F15" s="43">
        <f>(Table1[[#This Row],[Pajamos  ]]/Table1[[#Totals],[Pajamos  ]])*100%</f>
        <v>4.2506409039798181E-3</v>
      </c>
      <c r="G15" s="42">
        <f>(Table1[[#This Row],[Žiūrovų skaičius]]/Table1[[#Totals],[Žiūrovų skaičius]])*100%</f>
        <v>4.1388341286010188E-3</v>
      </c>
    </row>
    <row r="16" spans="1:7" ht="26.1" customHeight="1" x14ac:dyDescent="0.2">
      <c r="A16" s="9">
        <v>14</v>
      </c>
      <c r="B16" s="9" t="s">
        <v>9</v>
      </c>
      <c r="C16" s="10">
        <f>Allscreens[[#Totals],[
Pajamos]]</f>
        <v>82435.039999999994</v>
      </c>
      <c r="D16" s="11">
        <f>Allscreens[[#Totals],[ 
Žiūrovai]]</f>
        <v>11920</v>
      </c>
      <c r="E16" s="9" cm="1">
        <f t="array" ref="E16">Allscreens[Eil. Nr.]</f>
        <v>1</v>
      </c>
      <c r="F16" s="43">
        <f>(Table1[[#This Row],[Pajamos  ]]/Table1[[#Totals],[Pajamos  ]])*100%</f>
        <v>3.5027299259313524E-3</v>
      </c>
      <c r="G16" s="42">
        <f>(Table1[[#This Row],[Žiūrovų skaičius]]/Table1[[#Totals],[Žiūrovų skaičius]])*100%</f>
        <v>3.2737161786943695E-3</v>
      </c>
    </row>
    <row r="17" spans="1:7" ht="26.1" customHeight="1" x14ac:dyDescent="0.2">
      <c r="A17" s="9">
        <v>15</v>
      </c>
      <c r="B17" s="9" t="s">
        <v>12</v>
      </c>
      <c r="C17" s="10">
        <f>BCM[[#Totals],[
Pajamos]]</f>
        <v>81246.22</v>
      </c>
      <c r="D17" s="11">
        <f>BCM[[#Totals],[ 
Žiūrovai]]</f>
        <v>15754</v>
      </c>
      <c r="E17" s="9">
        <f>'Baltic Content Media'!A8</f>
        <v>6</v>
      </c>
      <c r="F17" s="43">
        <f>(Table1[[#This Row],[Pajamos  ]]/Table1[[#Totals],[Pajamos  ]])*100%</f>
        <v>3.4522160256464044E-3</v>
      </c>
      <c r="G17" s="42">
        <f>(Table1[[#This Row],[Žiūrovų skaičius]]/Table1[[#Totals],[Žiūrovų skaičius]])*100%</f>
        <v>4.3266883120093198E-3</v>
      </c>
    </row>
    <row r="18" spans="1:7" ht="26.1" customHeight="1" x14ac:dyDescent="0.2">
      <c r="A18" s="9">
        <v>16</v>
      </c>
      <c r="B18" s="9" t="s">
        <v>17</v>
      </c>
      <c r="C18" s="10">
        <f>Estinfilm[[#Totals],[
Pajamos]]</f>
        <v>41530.25</v>
      </c>
      <c r="D18" s="11">
        <f>Estinfilm[[#Totals],[ 
Žiūrovai]]</f>
        <v>9868</v>
      </c>
      <c r="E18" s="9">
        <f>Estinfilm!A22</f>
        <v>20</v>
      </c>
      <c r="F18" s="43">
        <f>(Table1[[#This Row],[Pajamos  ]]/Table1[[#Totals],[Pajamos  ]])*100%</f>
        <v>1.7646531075427459E-3</v>
      </c>
      <c r="G18" s="42">
        <f>(Table1[[#This Row],[Žiūrovų skaičius]]/Table1[[#Totals],[Žiūrovų skaičius]])*100%</f>
        <v>2.7101536284694664E-3</v>
      </c>
    </row>
    <row r="19" spans="1:7" ht="26.1" customHeight="1" x14ac:dyDescent="0.2">
      <c r="A19" s="9">
        <v>17</v>
      </c>
      <c r="B19" s="9" t="s">
        <v>26</v>
      </c>
      <c r="C19" s="10">
        <f>SkalvijosKC[[#Totals],[
Pajamos]]</f>
        <v>40234</v>
      </c>
      <c r="D19" s="11">
        <f>SkalvijosKC[[#Totals],[ 
Žiūrovai]]</f>
        <v>10378</v>
      </c>
      <c r="E19" s="9">
        <f>'Skalvijos kino centras'!A18</f>
        <v>16</v>
      </c>
      <c r="F19" s="43">
        <f>(Table1[[#This Row],[Pajamos  ]]/Table1[[#Totals],[Pajamos  ]])*100%</f>
        <v>1.7095744217498049E-3</v>
      </c>
      <c r="G19" s="42">
        <f>(Table1[[#This Row],[Žiūrovų skaičius]]/Table1[[#Totals],[Žiūrovų skaičius]])*100%</f>
        <v>2.8502203441686381E-3</v>
      </c>
    </row>
    <row r="20" spans="1:7" ht="26.1" customHeight="1" x14ac:dyDescent="0.2">
      <c r="A20" s="9">
        <v>18</v>
      </c>
      <c r="B20" s="9" t="s">
        <v>31</v>
      </c>
      <c r="C20" s="10">
        <f>UnlimitedMedia[[#Totals],[
Pajamos]]</f>
        <v>32995.18</v>
      </c>
      <c r="D20" s="11">
        <f>UnlimitedMedia[[#Totals],[ 
Žiūrovai]]</f>
        <v>6682</v>
      </c>
      <c r="E20" s="9">
        <f>'Unlimited Media OÜ'!A10</f>
        <v>8</v>
      </c>
      <c r="F20" s="43">
        <f>(Table1[[#This Row],[Pajamos  ]]/Table1[[#Totals],[Pajamos  ]])*100%</f>
        <v>1.4019912454399446E-3</v>
      </c>
      <c r="G20" s="42">
        <f>(Table1[[#This Row],[Žiūrovų skaičius]]/Table1[[#Totals],[Žiūrovų skaičius]])*100%</f>
        <v>1.8351486162781691E-3</v>
      </c>
    </row>
    <row r="21" spans="1:7" ht="26.1" customHeight="1" x14ac:dyDescent="0.2">
      <c r="A21" s="9">
        <v>19</v>
      </c>
      <c r="B21" s="9" t="s">
        <v>23</v>
      </c>
      <c r="C21" s="10">
        <v>28275</v>
      </c>
      <c r="D21" s="11">
        <v>4860</v>
      </c>
      <c r="E21" s="9">
        <v>3</v>
      </c>
      <c r="F21" s="43">
        <f>(Table1[[#This Row],[Pajamos  ]]/Table1[[#Totals],[Pajamos  ]])*100%</f>
        <v>1.2014270710089907E-3</v>
      </c>
      <c r="G21" s="42">
        <f>(Table1[[#This Row],[Žiūrovų skaičius]]/Table1[[#Totals],[Žiūrovų skaičius]])*100%</f>
        <v>1.3347534084274023E-3</v>
      </c>
    </row>
    <row r="22" spans="1:7" ht="26.1" customHeight="1" x14ac:dyDescent="0.2">
      <c r="A22" s="9">
        <v>20</v>
      </c>
      <c r="B22" s="3" t="s">
        <v>7</v>
      </c>
      <c r="C22" s="10">
        <f>Maoboricomapny[[#Totals],[
Pajamos]]</f>
        <v>27961</v>
      </c>
      <c r="D22" s="11">
        <f>Maoboricomapny[[#Totals],[ 
Žiūrovai]]</f>
        <v>4161</v>
      </c>
      <c r="E22" s="9" cm="1">
        <f t="array" ref="E22">Maoboricomapny[Eil. Nr.]</f>
        <v>1</v>
      </c>
      <c r="F22" s="43">
        <f>(Table1[[#This Row],[Pajamos  ]]/Table1[[#Totals],[Pajamos  ]])*100%</f>
        <v>1.1880849631293506E-3</v>
      </c>
      <c r="G22" s="42">
        <f>(Table1[[#This Row],[Žiūrovų skaičius]]/Table1[[#Totals],[Žiūrovų skaičius]])*100%</f>
        <v>1.1427796157338316E-3</v>
      </c>
    </row>
    <row r="23" spans="1:7" ht="26.1" customHeight="1" x14ac:dyDescent="0.2">
      <c r="A23" s="9">
        <v>21</v>
      </c>
      <c r="B23" s="9" t="s">
        <v>22</v>
      </c>
      <c r="C23" s="10">
        <f>KCGarsas[[#Totals],[
Pajamos]]</f>
        <v>23992.5</v>
      </c>
      <c r="D23" s="11">
        <f>KCGarsas[[#Totals],[ 
Žiūrovai]]</f>
        <v>6098</v>
      </c>
      <c r="E23" s="9">
        <f>'KC Garsas'!A19</f>
        <v>17</v>
      </c>
      <c r="F23" s="43">
        <f>(Table1[[#This Row],[Pajamos  ]]/Table1[[#Totals],[Pajamos  ]])*100%</f>
        <v>1.019460265293836E-3</v>
      </c>
      <c r="G23" s="42">
        <f>(Table1[[#This Row],[Žiūrovų skaičius]]/Table1[[#Totals],[Žiūrovų skaičius]])*100%</f>
        <v>1.6747584947716665E-3</v>
      </c>
    </row>
    <row r="24" spans="1:7" ht="26.1" customHeight="1" x14ac:dyDescent="0.2">
      <c r="A24" s="9">
        <v>22</v>
      </c>
      <c r="B24" s="9" t="s">
        <v>21</v>
      </c>
      <c r="C24" s="10">
        <f>GretaGarboFilms[[#Totals],[
Pajamos]]</f>
        <v>16936</v>
      </c>
      <c r="D24" s="11">
        <f>GretaGarboFilms[[#Totals],[ 
Žiūrovai]]</f>
        <v>2815</v>
      </c>
      <c r="E24" s="9">
        <f>'Greta Garbo Films'!A7</f>
        <v>5</v>
      </c>
      <c r="F24" s="43">
        <f>(Table1[[#This Row],[Pajamos  ]]/Table1[[#Totals],[Pajamos  ]])*100%</f>
        <v>7.1962400971205189E-4</v>
      </c>
      <c r="G24" s="42">
        <f>(Table1[[#This Row],[Žiūrovų skaičius]]/Table1[[#Totals],[Žiūrovų skaičius]])*100%</f>
        <v>7.7311334253562505E-4</v>
      </c>
    </row>
    <row r="25" spans="1:7" ht="26.1" customHeight="1" x14ac:dyDescent="0.2">
      <c r="A25" s="9">
        <v>23</v>
      </c>
      <c r="B25" s="9" t="s">
        <v>30</v>
      </c>
      <c r="C25" s="10">
        <f>Taiptoliau[[#Totals],[
Pajamos]]</f>
        <v>13020.2</v>
      </c>
      <c r="D25" s="11">
        <f>Taiptoliau[[#Totals],[ 
Žiūrovai]]</f>
        <v>1927</v>
      </c>
      <c r="E25" s="9">
        <f>'Taip toliau'!A7</f>
        <v>5</v>
      </c>
      <c r="F25" s="43">
        <f>(Table1[[#This Row],[Pajamos  ]]/Table1[[#Totals],[Pajamos  ]])*100%</f>
        <v>5.5323857647926662E-4</v>
      </c>
      <c r="G25" s="42">
        <f>(Table1[[#This Row],[Žiūrovų skaičius]]/Table1[[#Totals],[Žiūrovų skaičius]])*100%</f>
        <v>5.2923247284765516E-4</v>
      </c>
    </row>
    <row r="26" spans="1:7" ht="26.1" customHeight="1" x14ac:dyDescent="0.2">
      <c r="A26" s="9">
        <v>24</v>
      </c>
      <c r="B26" s="9" t="s">
        <v>309</v>
      </c>
      <c r="C26" s="10">
        <f>Zerocopy[[#Totals],[
Pajamos]]</f>
        <v>7664</v>
      </c>
      <c r="D26" s="11">
        <f>Zerocopy[[#Totals],[ 
Žiūrovai]]</f>
        <v>1080</v>
      </c>
      <c r="E26" s="9" cm="1">
        <f t="array" ref="E26">Zerocopy[Eil. Nr.]</f>
        <v>1</v>
      </c>
      <c r="F26" s="43">
        <f>(Table1[[#This Row],[Pajamos  ]]/Table1[[#Totals],[Pajamos  ]])*100%</f>
        <v>3.2564941015783929E-4</v>
      </c>
      <c r="G26" s="42">
        <f>(Table1[[#This Row],[Žiūrovų skaičius]]/Table1[[#Totals],[Žiūrovų skaičius]])*100%</f>
        <v>2.9661186853942274E-4</v>
      </c>
    </row>
    <row r="27" spans="1:7" ht="26.1" customHeight="1" x14ac:dyDescent="0.2">
      <c r="A27" s="9">
        <v>25</v>
      </c>
      <c r="B27" s="9" t="s">
        <v>14</v>
      </c>
      <c r="C27" s="10">
        <f>BroomFilms[[#Totals],[
Pajamos]]</f>
        <v>7006.28</v>
      </c>
      <c r="D27" s="11">
        <f>BroomFilms[[#Totals],[ 
Žiūrovai]]</f>
        <v>1343</v>
      </c>
      <c r="E27" s="9">
        <f>'Broom Films'!A6</f>
        <v>4</v>
      </c>
      <c r="F27" s="43">
        <f>(Table1[[#This Row],[Pajamos  ]]/Table1[[#Totals],[Pajamos  ]])*100%</f>
        <v>2.9770236813683011E-4</v>
      </c>
      <c r="G27" s="42">
        <f>(Table1[[#This Row],[Žiūrovų skaičius]]/Table1[[#Totals],[Žiūrovų skaičius]])*100%</f>
        <v>3.6884235134115255E-4</v>
      </c>
    </row>
    <row r="28" spans="1:7" ht="26.1" customHeight="1" x14ac:dyDescent="0.2">
      <c r="A28" s="9">
        <v>26</v>
      </c>
      <c r="B28" s="9" t="s">
        <v>73</v>
      </c>
      <c r="C28" s="10">
        <f>Maoboricomapny16[[#Totals],[
Pajamos]]</f>
        <v>6873.25</v>
      </c>
      <c r="D28" s="11">
        <f>Maoboricomapny16[[#Totals],[ 
Žiūrovai]]</f>
        <v>1765</v>
      </c>
      <c r="E28" s="9" cm="1">
        <f t="array" ref="E28">Maoboricomapny16[Eil. Nr.]</f>
        <v>1</v>
      </c>
      <c r="F28" s="43">
        <f>(Table1[[#This Row],[Pajamos  ]]/Table1[[#Totals],[Pajamos  ]])*100%</f>
        <v>2.9204981841954184E-4</v>
      </c>
      <c r="G28" s="42">
        <f>(Table1[[#This Row],[Žiūrovų skaičius]]/Table1[[#Totals],[Žiūrovų skaičius]])*100%</f>
        <v>4.847406925667418E-4</v>
      </c>
    </row>
    <row r="29" spans="1:7" ht="26.1" customHeight="1" x14ac:dyDescent="0.2">
      <c r="A29" s="9">
        <v>27</v>
      </c>
      <c r="B29" s="12" t="s">
        <v>308</v>
      </c>
      <c r="C29" s="13">
        <f>Špikis[[#Totals],[
Pajamos]]</f>
        <v>6731.94</v>
      </c>
      <c r="D29" s="14">
        <f>Špikis[[#Totals],[ 
Žiūrovai]]</f>
        <v>984</v>
      </c>
      <c r="E29" s="12" cm="1">
        <f t="array" ref="E29">Špikis[Eil. Nr.]</f>
        <v>1</v>
      </c>
      <c r="F29" s="44">
        <f>(Table1[[#This Row],[Pajamos  ]]/Table1[[#Totals],[Pajamos  ]])*100%</f>
        <v>2.8604544496580955E-4</v>
      </c>
      <c r="G29" s="46">
        <f>(Table1[[#This Row],[Žiūrovų skaičius]]/Table1[[#Totals],[Žiūrovų skaičius]])*100%</f>
        <v>2.7024636911369629E-4</v>
      </c>
    </row>
    <row r="30" spans="1:7" ht="26.1" customHeight="1" x14ac:dyDescent="0.2">
      <c r="A30" s="9">
        <v>28</v>
      </c>
      <c r="B30" s="12" t="s">
        <v>307</v>
      </c>
      <c r="C30" s="10">
        <f>Naratyvas[[#Totals],[
Pajamos]]</f>
        <v>6030.11</v>
      </c>
      <c r="D30" s="11">
        <f>Naratyvas[[#Totals],[ 
Žiūrovai]]</f>
        <v>1013</v>
      </c>
      <c r="E30" s="16" cm="1">
        <f t="array" ref="E30">Naratyvas[Eil. Nr.]</f>
        <v>1</v>
      </c>
      <c r="F30" s="95">
        <f>(Table1[[#This Row],[Pajamos  ]]/Table1[[#Totals],[Pajamos  ]])*100%</f>
        <v>2.5622413422323695E-4</v>
      </c>
      <c r="G30" s="42">
        <f>(Table1[[#This Row],[Žiūrovų skaičius]]/Table1[[#Totals],[Žiūrovų skaičius]])*100%</f>
        <v>2.7821094706521779E-4</v>
      </c>
    </row>
    <row r="31" spans="1:7" ht="26.1" customHeight="1" x14ac:dyDescent="0.2">
      <c r="A31" s="9">
        <v>29</v>
      </c>
      <c r="B31" s="12" t="s">
        <v>11</v>
      </c>
      <c r="C31" s="10">
        <f>Artbox[[#Totals],[
Pajamos]]</f>
        <v>4913.8100000000004</v>
      </c>
      <c r="D31" s="11">
        <f>Artbox[[#Totals],[ 
Žiūrovai]]</f>
        <v>3344</v>
      </c>
      <c r="E31" s="16">
        <f>Artbox!A4</f>
        <v>2</v>
      </c>
      <c r="F31" s="95">
        <f>(Table1[[#This Row],[Pajamos  ]]/Table1[[#Totals],[Pajamos  ]])*100%</f>
        <v>2.0879166598743377E-4</v>
      </c>
      <c r="G31" s="42">
        <f>(Table1[[#This Row],[Žiūrovų skaičius]]/Table1[[#Totals],[Žiūrovų skaičius]])*100%</f>
        <v>9.1839822999613852E-4</v>
      </c>
    </row>
    <row r="32" spans="1:7" ht="26.1" customHeight="1" x14ac:dyDescent="0.2">
      <c r="A32" s="9">
        <v>30</v>
      </c>
      <c r="B32" s="12" t="s">
        <v>24</v>
      </c>
      <c r="C32" s="10">
        <f>Monoklis[[#Totals],[
Pajamos]]</f>
        <v>3196</v>
      </c>
      <c r="D32" s="11">
        <f>Monoklis[[#Totals],[ 
Žiūrovai]]</f>
        <v>612</v>
      </c>
      <c r="E32" s="16" cm="1">
        <f t="array" ref="E32">Monoklis[Eil. Nr.]</f>
        <v>1</v>
      </c>
      <c r="F32" s="95">
        <f>(Table1[[#This Row],[Pajamos  ]]/Table1[[#Totals],[Pajamos  ]])*100%</f>
        <v>1.3580056300423464E-4</v>
      </c>
      <c r="G32" s="42">
        <f>(Table1[[#This Row],[Žiūrovų skaičius]]/Table1[[#Totals],[Žiūrovų skaičius]])*100%</f>
        <v>1.6808005883900621E-4</v>
      </c>
    </row>
    <row r="33" spans="1:7" ht="26.1" customHeight="1" x14ac:dyDescent="0.2">
      <c r="A33" s="9">
        <v>31</v>
      </c>
      <c r="B33" s="12" t="s">
        <v>27</v>
      </c>
      <c r="C33" s="10">
        <f>StudioNominum[[#Totals],[
Pajamos]]</f>
        <v>3176.9</v>
      </c>
      <c r="D33" s="11">
        <f>StudioNominum[[#Totals],[ 
Žiūrovai]]</f>
        <v>802</v>
      </c>
      <c r="E33" s="16" cm="1">
        <f t="array" ref="E33">StudioNominum[Eil. Nr.]</f>
        <v>1</v>
      </c>
      <c r="F33" s="95">
        <f>(Table1[[#This Row],[Pajamos  ]]/Table1[[#Totals],[Pajamos  ]])*100%</f>
        <v>1.3498898892620558E-4</v>
      </c>
      <c r="G33" s="42">
        <f>(Table1[[#This Row],[Žiūrovų skaičius]]/Table1[[#Totals],[Žiūrovų skaičius]])*100%</f>
        <v>2.2026177645242319E-4</v>
      </c>
    </row>
    <row r="34" spans="1:7" ht="26.1" customHeight="1" x14ac:dyDescent="0.2">
      <c r="A34" s="9">
        <v>32</v>
      </c>
      <c r="B34" s="12" t="s">
        <v>306</v>
      </c>
      <c r="C34" s="10">
        <f>MFilms[[#Totals],[
Pajamos]]</f>
        <v>1100.5</v>
      </c>
      <c r="D34" s="11">
        <f>MFilms[[#Totals],[ 
Žiūrovai]]</f>
        <v>198</v>
      </c>
      <c r="E34" s="16">
        <v>2</v>
      </c>
      <c r="F34" s="95">
        <f>(Table1[[#This Row],[Pajamos  ]]/Table1[[#Totals],[Pajamos  ]])*100%</f>
        <v>4.676111376287867E-5</v>
      </c>
      <c r="G34" s="42">
        <f>(Table1[[#This Row],[Žiūrovų skaičius]]/Table1[[#Totals],[Žiūrovų skaičius]])*100%</f>
        <v>5.4378842565560833E-5</v>
      </c>
    </row>
    <row r="35" spans="1:7" s="101" customFormat="1" ht="26.1" customHeight="1" x14ac:dyDescent="0.2">
      <c r="A35" s="96" t="s">
        <v>34</v>
      </c>
      <c r="B35" s="97" t="s">
        <v>33</v>
      </c>
      <c r="C35" s="98">
        <f>SUBTOTAL(109,Table1[[Pajamos  ]])</f>
        <v>23534512.149999995</v>
      </c>
      <c r="D35" s="99">
        <f>SUBTOTAL(109,Table1[Žiūrovų skaičius])</f>
        <v>3641122</v>
      </c>
      <c r="E35" s="97">
        <f>SUBTOTAL(109,Table1[Filmų kiekis])</f>
        <v>395</v>
      </c>
      <c r="F35" s="100">
        <f>SUBTOTAL(109,Table1[Pajamos (Rinkos dalis) ])</f>
        <v>1.0000000000000002</v>
      </c>
      <c r="G35" s="100">
        <f>SUBTOTAL(109,Table1[Žiūrovai (Rinkos dalis) ])</f>
        <v>1.0000000000000002</v>
      </c>
    </row>
    <row r="36" spans="1:7" ht="50.25" customHeight="1" x14ac:dyDescent="0.2">
      <c r="A36" s="63"/>
      <c r="B36" s="63"/>
      <c r="C36" s="64"/>
      <c r="D36" s="65"/>
      <c r="E36" s="63"/>
      <c r="F36" s="66"/>
      <c r="G36" s="66"/>
    </row>
    <row r="37" spans="1:7" ht="26.1" customHeight="1" x14ac:dyDescent="0.2">
      <c r="A37" s="165" t="s">
        <v>74</v>
      </c>
      <c r="B37" s="165"/>
      <c r="C37" s="165"/>
      <c r="D37" s="165"/>
      <c r="E37" s="165"/>
      <c r="F37" s="165"/>
      <c r="G37" s="166"/>
    </row>
    <row r="38" spans="1:7" ht="26.1" customHeight="1" x14ac:dyDescent="0.2">
      <c r="A38" s="1" t="s">
        <v>5</v>
      </c>
      <c r="B38" s="1" t="s">
        <v>0</v>
      </c>
      <c r="C38" s="5" t="s">
        <v>19</v>
      </c>
      <c r="D38" s="2" t="s">
        <v>1</v>
      </c>
      <c r="E38" s="1" t="s">
        <v>2</v>
      </c>
      <c r="F38" s="41" t="s">
        <v>3</v>
      </c>
      <c r="G38" s="41" t="s">
        <v>4</v>
      </c>
    </row>
    <row r="39" spans="1:7" ht="26.1" customHeight="1" x14ac:dyDescent="0.2">
      <c r="A39" s="9">
        <v>1</v>
      </c>
      <c r="B39" s="3" t="s">
        <v>40</v>
      </c>
      <c r="C39" s="10">
        <f>Table356[[#Totals],[WDSMPI
Pajamos]]</f>
        <v>3940092.6999999997</v>
      </c>
      <c r="D39" s="11">
        <f>Table356[[#Totals],[WDSMPI
Žiūrovai]]</f>
        <v>616614</v>
      </c>
      <c r="E39" s="16">
        <f>'Theatrical Film Distribution'!A16</f>
        <v>14</v>
      </c>
      <c r="F39" s="43">
        <f>(Table13[[#This Row],[Pajamos  ]]/Table13[[#Totals],[Pajamos  ]])*100%</f>
        <v>0.16741765257650765</v>
      </c>
      <c r="G39" s="42">
        <f>(Table13[[#This Row],[Žiūrovų skaičius]]/Table13[[#Totals],[Žiūrovų skaičius]])*100%</f>
        <v>0.16934725065515518</v>
      </c>
    </row>
    <row r="40" spans="1:7" ht="26.1" customHeight="1" x14ac:dyDescent="0.2">
      <c r="A40" s="9">
        <v>2</v>
      </c>
      <c r="B40" s="3" t="s">
        <v>39</v>
      </c>
      <c r="C40" s="10">
        <f>DuKine[[#Totals],[Universal Pictures
Pajamos]]</f>
        <v>3228748.4600000009</v>
      </c>
      <c r="D40" s="11">
        <f>DuKine[[#Totals],[Universal Pictures
Žiūrovai]]</f>
        <v>555270</v>
      </c>
      <c r="E40" s="9">
        <f>'Dukine Film Distribution'!A25</f>
        <v>23</v>
      </c>
      <c r="F40" s="43">
        <f>(Table13[[#This Row],[Pajamos  ]]/Table13[[#Totals],[Pajamos  ]])*100%</f>
        <v>0.13719207366192532</v>
      </c>
      <c r="G40" s="42">
        <f>(Table13[[#This Row],[Žiūrovų skaičius]]/Table13[[#Totals],[Žiūrovų skaičius]])*100%</f>
        <v>0.15249969652211598</v>
      </c>
    </row>
    <row r="41" spans="1:7" ht="26.1" customHeight="1" x14ac:dyDescent="0.2">
      <c r="A41" s="9">
        <v>3</v>
      </c>
      <c r="B41" s="3" t="s">
        <v>36</v>
      </c>
      <c r="C41" s="6">
        <f>ACMEFilm[[#Totals],[SONY 
Pajamos]]</f>
        <v>2632035.0700000008</v>
      </c>
      <c r="D41" s="4">
        <f>ACMEFilm[[#Totals],[SONY
Žiūrovai]]</f>
        <v>392035</v>
      </c>
      <c r="E41" s="15">
        <v>17</v>
      </c>
      <c r="F41" s="42">
        <f>(Table13[[#This Row],[Pajamos  ]]/Table13[[#Totals],[Pajamos  ]])*100%</f>
        <v>0.11183725015364336</v>
      </c>
      <c r="G41" s="42">
        <f>(Table13[[#This Row],[Žiūrovų skaičius]]/Table13[[#Totals],[Žiūrovų skaičius]])*100%</f>
        <v>0.10766873507671536</v>
      </c>
    </row>
    <row r="42" spans="1:7" ht="26.1" customHeight="1" x14ac:dyDescent="0.2">
      <c r="A42" s="9">
        <v>4</v>
      </c>
      <c r="B42" s="3" t="s">
        <v>37</v>
      </c>
      <c r="C42" s="6">
        <f>ACMEFilm[[#Totals],[Warner Bros.
Pajamos]]</f>
        <v>2531333.3699999996</v>
      </c>
      <c r="D42" s="4">
        <f>ACMEFilm[[#Totals],[Warner Bros.
Žiūrovai]]</f>
        <v>357568</v>
      </c>
      <c r="E42" s="15">
        <f>'ACME Film'!A19</f>
        <v>17</v>
      </c>
      <c r="F42" s="42">
        <f>(Table13[[#This Row],[Pajamos  ]]/Table13[[#Totals],[Pajamos  ]])*100%</f>
        <v>0.10755835533869045</v>
      </c>
      <c r="G42" s="42">
        <f>(Table13[[#This Row],[Žiūrovų skaičius]]/Table13[[#Totals],[Žiūrovų skaičius]])*100%</f>
        <v>9.8202696861022509E-2</v>
      </c>
    </row>
    <row r="43" spans="1:7" ht="26.1" customHeight="1" x14ac:dyDescent="0.2">
      <c r="A43" s="9">
        <v>5</v>
      </c>
      <c r="B43" s="9" t="s">
        <v>32</v>
      </c>
      <c r="C43" s="10">
        <f>Vabalofilmai[[#Totals],[
Pajamos]]</f>
        <v>2344922</v>
      </c>
      <c r="D43" s="11">
        <f>Vabalofilmai[[#Totals],[ 
Žiūrovai]]</f>
        <v>324854</v>
      </c>
      <c r="E43" s="9">
        <f>' Vabalo filmai'!A5</f>
        <v>3</v>
      </c>
      <c r="F43" s="43">
        <f>(Table13[[#This Row],[Pajamos  ]]/Table13[[#Totals],[Pajamos  ]])*100%</f>
        <v>9.9637588911298827E-2</v>
      </c>
      <c r="G43" s="42">
        <f>(Table13[[#This Row],[Žiūrovų skaičius]]/Table13[[#Totals],[Žiūrovų skaičius]])*100%</f>
        <v>8.9218103650468186E-2</v>
      </c>
    </row>
    <row r="44" spans="1:7" ht="26.1" customHeight="1" x14ac:dyDescent="0.2">
      <c r="A44" s="9">
        <v>6</v>
      </c>
      <c r="B44" s="3" t="s">
        <v>35</v>
      </c>
      <c r="C44" s="6">
        <f>ACMEFilm[[#Totals],[Independent
Pajamos]]</f>
        <v>2257797.8399999994</v>
      </c>
      <c r="D44" s="4">
        <f>ACMEFilm[[#Totals],[Independent 
Žiūrovai]]</f>
        <v>376755</v>
      </c>
      <c r="E44" s="3">
        <v>53</v>
      </c>
      <c r="F44" s="42">
        <f>(Table13[[#This Row],[Pajamos  ]]/Table13[[#Totals],[Pajamos  ]])*100%</f>
        <v>9.5935614500925137E-2</v>
      </c>
      <c r="G44" s="42">
        <f>(Table13[[#This Row],[Žiūrovų skaičius]]/Table13[[#Totals],[Žiūrovų skaičius]])*100%</f>
        <v>0.10347222641812057</v>
      </c>
    </row>
    <row r="45" spans="1:7" ht="26.25" customHeight="1" x14ac:dyDescent="0.2">
      <c r="A45" s="9">
        <v>7</v>
      </c>
      <c r="B45" s="3" t="s">
        <v>38</v>
      </c>
      <c r="C45" s="10">
        <f>DuKine[[#Totals],[Paramount Pictures 
Pajamos]]</f>
        <v>1474572.4000000001</v>
      </c>
      <c r="D45" s="11">
        <f>DuKine[[#Totals],[Paramount Pictures 
Žiūrovai]]</f>
        <v>207493</v>
      </c>
      <c r="E45" s="9">
        <v>11</v>
      </c>
      <c r="F45" s="43">
        <f>(Table13[[#This Row],[Pajamos  ]]/Table13[[#Totals],[Pajamos  ]])*100%</f>
        <v>6.2655746592486794E-2</v>
      </c>
      <c r="G45" s="42">
        <f>(Table13[[#This Row],[Žiūrovų skaičius]]/Table13[[#Totals],[Žiūrovų skaičius]])*100%</f>
        <v>5.698600596189856E-2</v>
      </c>
    </row>
    <row r="46" spans="1:7" ht="26.1" customHeight="1" x14ac:dyDescent="0.2">
      <c r="A46" s="9">
        <v>8</v>
      </c>
      <c r="B46" s="9" t="s">
        <v>72</v>
      </c>
      <c r="C46" s="10">
        <f>Valujavičiauskelionės[[#Totals],[
Pajamos]]</f>
        <v>1319613.58</v>
      </c>
      <c r="D46" s="11">
        <f>Valujavičiauskelionės[[#Totals],[ 
Žiūrovai]]</f>
        <v>195397</v>
      </c>
      <c r="E46" s="9" cm="1">
        <f t="array" ref="E46">Valujavičiauskelionės[Eil. Nr.]</f>
        <v>1</v>
      </c>
      <c r="F46" s="43">
        <f>(Table13[[#This Row],[Pajamos  ]]/Table13[[#Totals],[Pajamos  ]])*100%</f>
        <v>5.6071423870733168E-2</v>
      </c>
      <c r="G46" s="42">
        <f>(Table13[[#This Row],[Žiūrovų skaičius]]/Table13[[#Totals],[Žiūrovų skaičius]])*100%</f>
        <v>5.3663953034257021E-2</v>
      </c>
    </row>
    <row r="47" spans="1:7" ht="26.1" customHeight="1" x14ac:dyDescent="0.2">
      <c r="A47" s="9">
        <v>9</v>
      </c>
      <c r="B47" s="9" t="s">
        <v>15</v>
      </c>
      <c r="C47" s="10">
        <f>CinemaAds[[#Totals],[
Pajamos]]</f>
        <v>844943.79</v>
      </c>
      <c r="D47" s="11">
        <f>CinemaAds[[#Totals],[ 
Žiūrovai]]</f>
        <v>118879</v>
      </c>
      <c r="E47" s="9">
        <f>'Cinema Ads'!A5</f>
        <v>3</v>
      </c>
      <c r="F47" s="43">
        <f>(Table13[[#This Row],[Pajamos  ]]/Table13[[#Totals],[Pajamos  ]])*100%</f>
        <v>3.5902329374356508E-2</v>
      </c>
      <c r="G47" s="42">
        <f>(Table13[[#This Row],[Žiūrovų skaičius]]/Table13[[#Totals],[Žiūrovų skaičius]])*100%</f>
        <v>3.2649002148238924E-2</v>
      </c>
    </row>
    <row r="48" spans="1:7" ht="26.1" customHeight="1" x14ac:dyDescent="0.2">
      <c r="A48" s="9">
        <v>10</v>
      </c>
      <c r="B48" s="9" t="s">
        <v>8</v>
      </c>
      <c r="C48" s="10">
        <f>Table356789[[#Totals],[
Pajamos]]</f>
        <v>732302.99000000011</v>
      </c>
      <c r="D48" s="11">
        <f>Table356789[[#Totals],[ 
Žiūrovai]]</f>
        <v>124249</v>
      </c>
      <c r="E48" s="9">
        <f>'Adastra Cinema'!A25</f>
        <v>23</v>
      </c>
      <c r="F48" s="43">
        <f>(Table13[[#This Row],[Pajamos  ]]/Table13[[#Totals],[Pajamos  ]])*100%</f>
        <v>3.1116132765241226E-2</v>
      </c>
      <c r="G48" s="42">
        <f>(Table13[[#This Row],[Žiūrovų skaičius]]/Table13[[#Totals],[Žiūrovų skaičius]])*100%</f>
        <v>3.4123822272365496E-2</v>
      </c>
    </row>
    <row r="49" spans="1:7" ht="26.1" customHeight="1" x14ac:dyDescent="0.2">
      <c r="A49" s="9">
        <v>11</v>
      </c>
      <c r="B49" s="9" t="s">
        <v>20</v>
      </c>
      <c r="C49" s="10">
        <f>GPI[[#Totals],[
Pajamos]]</f>
        <v>481003.4</v>
      </c>
      <c r="D49" s="11">
        <f>GPI[[#Totals],[ 
Žiūrovai]]</f>
        <v>85949</v>
      </c>
      <c r="E49" s="9">
        <f>'Garsų pasaulio įrašai'!A27</f>
        <v>25</v>
      </c>
      <c r="F49" s="43">
        <f>(Table13[[#This Row],[Pajamos  ]]/Table13[[#Totals],[Pajamos  ]])*100%</f>
        <v>2.0438214590565076E-2</v>
      </c>
      <c r="G49" s="42">
        <f>(Table13[[#This Row],[Žiūrovų skaičius]]/Table13[[#Totals],[Žiūrovų skaičius]])*100%</f>
        <v>2.360508656397671E-2</v>
      </c>
    </row>
    <row r="50" spans="1:7" ht="26.1" customHeight="1" x14ac:dyDescent="0.2">
      <c r="A50" s="9">
        <v>12</v>
      </c>
      <c r="B50" s="9" t="s">
        <v>18</v>
      </c>
      <c r="C50" s="17">
        <f>Europoskinas[[#Totals],[
Pajamos]]</f>
        <v>448207.58000000007</v>
      </c>
      <c r="D50" s="18">
        <f>Europoskinas[[#Totals],[ 
Žiūrovai]]</f>
        <v>66262</v>
      </c>
      <c r="E50" s="19">
        <f>'Europos kinas'!A51</f>
        <v>49</v>
      </c>
      <c r="F50" s="43">
        <f>(Table13[[#This Row],[Pajamos  ]]/Table13[[#Totals],[Pajamos  ]])*100%</f>
        <v>1.9044694281075487E-2</v>
      </c>
      <c r="G50" s="42">
        <f>(Table13[[#This Row],[Žiūrovų skaičius]]/Table13[[#Totals],[Žiūrovų skaičius]])*100%</f>
        <v>1.8198236697369658E-2</v>
      </c>
    </row>
    <row r="51" spans="1:7" ht="26.1" customHeight="1" x14ac:dyDescent="0.2">
      <c r="A51" s="9">
        <v>13</v>
      </c>
      <c r="B51" s="9" t="s">
        <v>25</v>
      </c>
      <c r="C51" s="10">
        <f>Pomokyklos[[#Totals],[
Pajamos]]</f>
        <v>292423.93000000005</v>
      </c>
      <c r="D51" s="11">
        <f>Pomokyklos[[#Totals],[ 
Žiūrovai]]</f>
        <v>42681</v>
      </c>
      <c r="E51" s="9" cm="1">
        <f t="array" ref="E51">Pomokyklos[Eil. Nr.]</f>
        <v>1</v>
      </c>
      <c r="F51" s="43">
        <f>(Table13[[#This Row],[Pajamos  ]]/Table13[[#Totals],[Pajamos  ]])*100%</f>
        <v>1.2425323880780013E-2</v>
      </c>
      <c r="G51" s="42">
        <f>(Table13[[#This Row],[Žiūrovų skaičius]]/Table13[[#Totals],[Žiūrovų skaičius]])*100%</f>
        <v>1.1721936260306575E-2</v>
      </c>
    </row>
    <row r="52" spans="1:7" ht="26.1" customHeight="1" x14ac:dyDescent="0.2">
      <c r="A52" s="9">
        <v>14</v>
      </c>
      <c r="B52" s="9" t="s">
        <v>10</v>
      </c>
      <c r="C52" s="10">
        <f>Table3567891011[[#Totals],[
Pajamos]]</f>
        <v>183152.51</v>
      </c>
      <c r="D52" s="11">
        <f>Table3567891011[[#Totals],[ 
Žiūrovai]]</f>
        <v>30801</v>
      </c>
      <c r="E52" s="9">
        <f>'A-One Films'!A23</f>
        <v>21</v>
      </c>
      <c r="F52" s="43">
        <f>(Table13[[#This Row],[Pajamos  ]]/Table13[[#Totals],[Pajamos  ]])*100%</f>
        <v>7.7822948905987271E-3</v>
      </c>
      <c r="G52" s="42">
        <f>(Table13[[#This Row],[Žiūrovų skaičius]]/Table13[[#Totals],[Žiūrovų skaičius]])*100%</f>
        <v>8.4592057063729263E-3</v>
      </c>
    </row>
    <row r="53" spans="1:7" ht="26.1" customHeight="1" x14ac:dyDescent="0.2">
      <c r="A53" s="9">
        <v>15</v>
      </c>
      <c r="B53" s="9" t="s">
        <v>28</v>
      </c>
      <c r="C53" s="10">
        <f>Table356[[#Totals],[Independent
Pajamos]]</f>
        <v>182082.15999999995</v>
      </c>
      <c r="D53" s="11">
        <f>Table356[[#Totals],[Independent 
Žiūrovai]]</f>
        <v>27110</v>
      </c>
      <c r="E53" s="9">
        <v>14</v>
      </c>
      <c r="F53" s="43">
        <f>(Table13[[#This Row],[Pajamos  ]]/Table13[[#Totals],[Pajamos  ]])*100%</f>
        <v>7.7368148732287617E-3</v>
      </c>
      <c r="G53" s="42">
        <f>(Table13[[#This Row],[Žiūrovų skaičius]]/Table13[[#Totals],[Žiūrovų skaičius]])*100%</f>
        <v>7.4455071815775469E-3</v>
      </c>
    </row>
    <row r="54" spans="1:7" ht="26.1" customHeight="1" x14ac:dyDescent="0.2">
      <c r="A54" s="9">
        <v>16</v>
      </c>
      <c r="B54" s="9" t="s">
        <v>13</v>
      </c>
      <c r="C54" s="10">
        <f>BestFilm[[#Totals],[
Pajamos]]</f>
        <v>105925.43</v>
      </c>
      <c r="D54" s="11">
        <f>BestFilm[[#Totals],[ 
Žiūrovai]]</f>
        <v>18531</v>
      </c>
      <c r="E54" s="9">
        <f>'Best Film'!A18</f>
        <v>16</v>
      </c>
      <c r="F54" s="43">
        <f>(Table13[[#This Row],[Pajamos  ]]/Table13[[#Totals],[Pajamos  ]])*100%</f>
        <v>4.500855230831797E-3</v>
      </c>
      <c r="G54" s="42">
        <f>(Table13[[#This Row],[Žiūrovų skaičius]]/Table13[[#Totals],[Žiūrovų skaičius]])*100%</f>
        <v>5.089365311022262E-3</v>
      </c>
    </row>
    <row r="55" spans="1:7" ht="26.1" customHeight="1" x14ac:dyDescent="0.2">
      <c r="A55" s="9">
        <v>17</v>
      </c>
      <c r="B55" s="9" t="s">
        <v>29</v>
      </c>
      <c r="C55" s="10">
        <f>Travolta[[#Totals],[
Pajamos]]</f>
        <v>100036.76</v>
      </c>
      <c r="D55" s="11">
        <f>Travolta[[#Totals],[ 
Žiūrovai]]</f>
        <v>15070</v>
      </c>
      <c r="E55" s="9">
        <f>Travolta!A10</f>
        <v>8</v>
      </c>
      <c r="F55" s="43">
        <f>(Table13[[#This Row],[Pajamos  ]]/Table13[[#Totals],[Pajamos  ]])*100%</f>
        <v>4.2506409888679719E-3</v>
      </c>
      <c r="G55" s="42">
        <f>(Table13[[#This Row],[Žiūrovų skaičius]]/Table13[[#Totals],[Žiūrovų skaičius]])*100%</f>
        <v>4.1388341286010188E-3</v>
      </c>
    </row>
    <row r="56" spans="1:7" ht="26.1" customHeight="1" x14ac:dyDescent="0.2">
      <c r="A56" s="9">
        <v>18</v>
      </c>
      <c r="B56" s="9" t="s">
        <v>9</v>
      </c>
      <c r="C56" s="10">
        <f>Allscreens[[#Totals],[
Pajamos]]</f>
        <v>82435.039999999994</v>
      </c>
      <c r="D56" s="11">
        <f>Allscreens[[#Totals],[ 
Žiūrovai]]</f>
        <v>11920</v>
      </c>
      <c r="E56" s="9" cm="1">
        <f t="array" ref="E56">Allscreens[Eil. Nr.]</f>
        <v>1</v>
      </c>
      <c r="F56" s="43">
        <f>(Table13[[#This Row],[Pajamos  ]]/Table13[[#Totals],[Pajamos  ]])*100%</f>
        <v>3.5027299958832214E-3</v>
      </c>
      <c r="G56" s="42">
        <f>(Table13[[#This Row],[Žiūrovų skaičius]]/Table13[[#Totals],[Žiūrovų skaičius]])*100%</f>
        <v>3.2737161786943695E-3</v>
      </c>
    </row>
    <row r="57" spans="1:7" ht="26.1" customHeight="1" x14ac:dyDescent="0.2">
      <c r="A57" s="9">
        <v>19</v>
      </c>
      <c r="B57" s="9" t="s">
        <v>12</v>
      </c>
      <c r="C57" s="10">
        <f>BCM[[#Totals],[
Pajamos]]</f>
        <v>81246.22</v>
      </c>
      <c r="D57" s="11">
        <f>BCM[[#Totals],[ 
Žiūrovai]]</f>
        <v>15754</v>
      </c>
      <c r="E57" s="175">
        <f>'Baltic Content Media'!A8</f>
        <v>6</v>
      </c>
      <c r="F57" s="43">
        <f>(Table13[[#This Row],[Pajamos  ]]/Table13[[#Totals],[Pajamos  ]])*100%</f>
        <v>3.452216094589477E-3</v>
      </c>
      <c r="G57" s="42">
        <f>(Table13[[#This Row],[Žiūrovų skaičius]]/Table13[[#Totals],[Žiūrovų skaičius]])*100%</f>
        <v>4.3266883120093198E-3</v>
      </c>
    </row>
    <row r="58" spans="1:7" ht="26.1" customHeight="1" x14ac:dyDescent="0.2">
      <c r="A58" s="9">
        <v>20</v>
      </c>
      <c r="B58" s="9" t="s">
        <v>17</v>
      </c>
      <c r="C58" s="10">
        <f>Estinfilm[[#Totals],[
Pajamos]]</f>
        <v>41530.25</v>
      </c>
      <c r="D58" s="11">
        <f>Estinfilm[[#Totals],[ 
Žiūrovai]]</f>
        <v>9868</v>
      </c>
      <c r="E58" s="9">
        <f>Estinfilm!A22</f>
        <v>20</v>
      </c>
      <c r="F58" s="43">
        <f>(Table13[[#This Row],[Pajamos  ]]/Table13[[#Totals],[Pajamos  ]])*100%</f>
        <v>1.7646531427840534E-3</v>
      </c>
      <c r="G58" s="42">
        <f>(Table13[[#This Row],[Žiūrovų skaičius]]/Table13[[#Totals],[Žiūrovų skaičius]])*100%</f>
        <v>2.7101536284694664E-3</v>
      </c>
    </row>
    <row r="59" spans="1:7" ht="26.1" customHeight="1" x14ac:dyDescent="0.2">
      <c r="A59" s="9">
        <v>21</v>
      </c>
      <c r="B59" s="9" t="s">
        <v>26</v>
      </c>
      <c r="C59" s="10">
        <f>SkalvijosKC[[#Totals],[
Pajamos]]</f>
        <v>40234</v>
      </c>
      <c r="D59" s="11">
        <f>SkalvijosKC[[#Totals],[ 
Žiūrovai]]</f>
        <v>10378</v>
      </c>
      <c r="E59" s="9">
        <f>'Skalvijos kino centras'!A18</f>
        <v>16</v>
      </c>
      <c r="F59" s="43">
        <f>(Table13[[#This Row],[Pajamos  ]]/Table13[[#Totals],[Pajamos  ]])*100%</f>
        <v>1.7095744558911542E-3</v>
      </c>
      <c r="G59" s="42">
        <f>(Table13[[#This Row],[Žiūrovų skaičius]]/Table13[[#Totals],[Žiūrovų skaičius]])*100%</f>
        <v>2.8502203441686381E-3</v>
      </c>
    </row>
    <row r="60" spans="1:7" ht="26.1" customHeight="1" x14ac:dyDescent="0.2">
      <c r="A60" s="9">
        <v>22</v>
      </c>
      <c r="B60" s="9" t="s">
        <v>31</v>
      </c>
      <c r="C60" s="10">
        <f>UnlimitedMedia[[#Totals],[
Pajamos]]</f>
        <v>32995.18</v>
      </c>
      <c r="D60" s="11">
        <f>UnlimitedMedia[[#Totals],[ 
Žiūrovai]]</f>
        <v>6682</v>
      </c>
      <c r="E60" s="9">
        <f>'Unlimited Media OÜ'!A10</f>
        <v>8</v>
      </c>
      <c r="F60" s="43">
        <f>(Table13[[#This Row],[Pajamos  ]]/Table13[[#Totals],[Pajamos  ]])*100%</f>
        <v>1.4019912734386513E-3</v>
      </c>
      <c r="G60" s="42">
        <f>(Table13[[#This Row],[Žiūrovų skaičius]]/Table13[[#Totals],[Žiūrovų skaičius]])*100%</f>
        <v>1.8351486162781691E-3</v>
      </c>
    </row>
    <row r="61" spans="1:7" ht="26.1" customHeight="1" x14ac:dyDescent="0.2">
      <c r="A61" s="9">
        <v>23</v>
      </c>
      <c r="B61" s="9" t="s">
        <v>23</v>
      </c>
      <c r="C61" s="10">
        <f>Kinopasaka[[#Totals],[
Pajamos]]</f>
        <v>28274.530000000002</v>
      </c>
      <c r="D61" s="11">
        <f>Kinopasaka[[#Totals],[ 
Žiūrovai]]</f>
        <v>4860</v>
      </c>
      <c r="E61" s="9">
        <f>'Kino pasaka'!A5</f>
        <v>3</v>
      </c>
      <c r="F61" s="43">
        <f>(Table13[[#This Row],[Pajamos  ]]/Table13[[#Totals],[Pajamos  ]])*100%</f>
        <v>1.2014071243308675E-3</v>
      </c>
      <c r="G61" s="42">
        <f>(Table13[[#This Row],[Žiūrovų skaičius]]/Table13[[#Totals],[Žiūrovų skaičius]])*100%</f>
        <v>1.3347534084274023E-3</v>
      </c>
    </row>
    <row r="62" spans="1:7" ht="26.1" customHeight="1" x14ac:dyDescent="0.2">
      <c r="A62" s="9">
        <v>24</v>
      </c>
      <c r="B62" s="3" t="s">
        <v>7</v>
      </c>
      <c r="C62" s="10">
        <f>Maoboricomapny[[#Totals],[
Pajamos]]</f>
        <v>27961</v>
      </c>
      <c r="D62" s="11">
        <f>Maoboricomapny[[#Totals],[ 
Žiūrovai]]</f>
        <v>4161</v>
      </c>
      <c r="E62" s="9" cm="1">
        <f t="array" ref="E62">Maoboricomapny[Eil. Nr.]</f>
        <v>1</v>
      </c>
      <c r="F62" s="43">
        <f>(Table13[[#This Row],[Pajamos  ]]/Table13[[#Totals],[Pajamos  ]])*100%</f>
        <v>1.1880849868562053E-3</v>
      </c>
      <c r="G62" s="42">
        <f>(Table13[[#This Row],[Žiūrovų skaičius]]/Table13[[#Totals],[Žiūrovų skaičius]])*100%</f>
        <v>1.1427796157338316E-3</v>
      </c>
    </row>
    <row r="63" spans="1:7" ht="26.1" customHeight="1" x14ac:dyDescent="0.2">
      <c r="A63" s="9">
        <v>25</v>
      </c>
      <c r="B63" s="12" t="s">
        <v>22</v>
      </c>
      <c r="C63" s="13">
        <f>KCGarsas[[#Totals],[
Pajamos]]</f>
        <v>23992.5</v>
      </c>
      <c r="D63" s="14">
        <f>KCGarsas[[#Totals],[ 
Žiūrovai]]</f>
        <v>6098</v>
      </c>
      <c r="E63" s="12">
        <f>'KC Garsas'!A19</f>
        <v>17</v>
      </c>
      <c r="F63" s="43">
        <f>(Table13[[#This Row],[Pajamos  ]]/Table13[[#Totals],[Pajamos  ]])*100%</f>
        <v>1.019460285653142E-3</v>
      </c>
      <c r="G63" s="42">
        <f>(Table13[[#This Row],[Žiūrovų skaičius]]/Table13[[#Totals],[Žiūrovų skaičius]])*100%</f>
        <v>1.6747584947716665E-3</v>
      </c>
    </row>
    <row r="64" spans="1:7" ht="26.1" customHeight="1" x14ac:dyDescent="0.2">
      <c r="A64" s="9">
        <v>26</v>
      </c>
      <c r="B64" s="12" t="s">
        <v>21</v>
      </c>
      <c r="C64" s="10">
        <f>GretaGarboFilms[[#Totals],[
Pajamos]]</f>
        <v>16936</v>
      </c>
      <c r="D64" s="11">
        <f>GretaGarboFilms[[#Totals],[ 
Žiūrovai]]</f>
        <v>2815</v>
      </c>
      <c r="E64" s="16">
        <f>'Greta Garbo Films'!A7</f>
        <v>5</v>
      </c>
      <c r="F64" s="43">
        <f>(Table13[[#This Row],[Pajamos  ]]/Table13[[#Totals],[Pajamos  ]])*100%</f>
        <v>7.1962402408342664E-4</v>
      </c>
      <c r="G64" s="42">
        <f>(Table13[[#This Row],[Žiūrovų skaičius]]/Table13[[#Totals],[Žiūrovų skaičius]])*100%</f>
        <v>7.7311334253562505E-4</v>
      </c>
    </row>
    <row r="65" spans="1:7" ht="26.1" customHeight="1" x14ac:dyDescent="0.2">
      <c r="A65" s="9">
        <v>27</v>
      </c>
      <c r="B65" s="12" t="s">
        <v>30</v>
      </c>
      <c r="C65" s="10">
        <f>Taiptoliau[[#Totals],[
Pajamos]]</f>
        <v>13020.2</v>
      </c>
      <c r="D65" s="11">
        <f>Taiptoliau[[#Totals],[ 
Žiūrovai]]</f>
        <v>1927</v>
      </c>
      <c r="E65" s="16">
        <f>'Taip toliau'!A7</f>
        <v>5</v>
      </c>
      <c r="F65" s="43">
        <f>(Table13[[#This Row],[Pajamos  ]]/Table13[[#Totals],[Pajamos  ]])*100%</f>
        <v>5.5323858752781248E-4</v>
      </c>
      <c r="G65" s="42">
        <f>(Table13[[#This Row],[Žiūrovų skaičius]]/Table13[[#Totals],[Žiūrovų skaičius]])*100%</f>
        <v>5.2923247284765516E-4</v>
      </c>
    </row>
    <row r="66" spans="1:7" ht="26.1" customHeight="1" x14ac:dyDescent="0.2">
      <c r="A66" s="9">
        <v>28</v>
      </c>
      <c r="B66" s="12" t="s">
        <v>309</v>
      </c>
      <c r="C66" s="10">
        <f>Zerocopy[[#Totals],[
Pajamos]]</f>
        <v>7664</v>
      </c>
      <c r="D66" s="11">
        <f>Zerocopy[[#Totals],[ 
Žiūrovai]]</f>
        <v>1080</v>
      </c>
      <c r="E66" s="16" cm="1">
        <f t="array" ref="E66">Zerocopy[Eil. Nr.]</f>
        <v>1</v>
      </c>
      <c r="F66" s="43">
        <f>(Table13[[#This Row],[Pajamos  ]]/Table13[[#Totals],[Pajamos  ]])*100%</f>
        <v>3.2564941666127667E-4</v>
      </c>
      <c r="G66" s="42">
        <f>(Table13[[#This Row],[Žiūrovų skaičius]]/Table13[[#Totals],[Žiūrovų skaičius]])*100%</f>
        <v>2.9661186853942274E-4</v>
      </c>
    </row>
    <row r="67" spans="1:7" ht="26.1" customHeight="1" x14ac:dyDescent="0.2">
      <c r="A67" s="9">
        <v>29</v>
      </c>
      <c r="B67" s="12" t="s">
        <v>14</v>
      </c>
      <c r="C67" s="10">
        <f>BroomFilms[[#Totals],[
Pajamos]]</f>
        <v>7006.28</v>
      </c>
      <c r="D67" s="11">
        <f>BroomFilms[[#Totals],[ 
Žiūrovai]]</f>
        <v>1343</v>
      </c>
      <c r="E67" s="16">
        <f>'Broom Films'!A6</f>
        <v>4</v>
      </c>
      <c r="F67" s="43">
        <f>(Table13[[#This Row],[Pajamos  ]]/Table13[[#Totals],[Pajamos  ]])*100%</f>
        <v>2.9770237408214634E-4</v>
      </c>
      <c r="G67" s="42">
        <f>(Table13[[#This Row],[Žiūrovų skaičius]]/Table13[[#Totals],[Žiūrovų skaičius]])*100%</f>
        <v>3.6884235134115255E-4</v>
      </c>
    </row>
    <row r="68" spans="1:7" ht="26.1" customHeight="1" x14ac:dyDescent="0.2">
      <c r="A68" s="9">
        <v>30</v>
      </c>
      <c r="B68" s="12" t="s">
        <v>73</v>
      </c>
      <c r="C68" s="10">
        <f>Maoboricomapny16[[#Totals],[
Pajamos]]</f>
        <v>6873.25</v>
      </c>
      <c r="D68" s="11">
        <f>Maoboricomapny16[[#Totals],[ 
Žiūrovai]]</f>
        <v>1765</v>
      </c>
      <c r="E68" s="16" cm="1">
        <f t="array" ref="E68">Maoboricomapny16[Eil. Nr.]</f>
        <v>1</v>
      </c>
      <c r="F68" s="43">
        <f>(Table13[[#This Row],[Pajamos  ]]/Table13[[#Totals],[Pajamos  ]])*100%</f>
        <v>2.9204982425197284E-4</v>
      </c>
      <c r="G68" s="42">
        <f>(Table13[[#This Row],[Žiūrovų skaičius]]/Table13[[#Totals],[Žiūrovų skaičius]])*100%</f>
        <v>4.847406925667418E-4</v>
      </c>
    </row>
    <row r="69" spans="1:7" ht="26.1" customHeight="1" x14ac:dyDescent="0.2">
      <c r="A69" s="9">
        <v>31</v>
      </c>
      <c r="B69" s="12" t="s">
        <v>308</v>
      </c>
      <c r="C69" s="10">
        <f>Špikis[[#Totals],[
Pajamos]]</f>
        <v>6731.94</v>
      </c>
      <c r="D69" s="11">
        <f>Špikis[[#Totals],[ 
Žiūrovai]]</f>
        <v>984</v>
      </c>
      <c r="E69" s="16" cm="1">
        <f t="array" ref="E69">Špikis[Eil. Nr.]</f>
        <v>1</v>
      </c>
      <c r="F69" s="43">
        <f>(Table13[[#This Row],[Pajamos  ]]/Table13[[#Totals],[Pajamos  ]])*100%</f>
        <v>2.8604545067832915E-4</v>
      </c>
      <c r="G69" s="42">
        <f>(Table13[[#This Row],[Žiūrovų skaičius]]/Table13[[#Totals],[Žiūrovų skaičius]])*100%</f>
        <v>2.7024636911369629E-4</v>
      </c>
    </row>
    <row r="70" spans="1:7" ht="26.1" customHeight="1" x14ac:dyDescent="0.2">
      <c r="A70" s="9">
        <v>32</v>
      </c>
      <c r="B70" s="12" t="s">
        <v>307</v>
      </c>
      <c r="C70" s="10">
        <f>Naratyvas[[#Totals],[
Pajamos]]</f>
        <v>6030.11</v>
      </c>
      <c r="D70" s="11">
        <f>Naratyvas[[#Totals],[ 
Žiūrovai]]</f>
        <v>1013</v>
      </c>
      <c r="E70" s="16" cm="1">
        <f t="array" ref="E70">Naratyvas[Eil. Nr.]</f>
        <v>1</v>
      </c>
      <c r="F70" s="43">
        <f>(Table13[[#This Row],[Pajamos  ]]/Table13[[#Totals],[Pajamos  ]])*100%</f>
        <v>2.56224139340205E-4</v>
      </c>
      <c r="G70" s="42">
        <f>(Table13[[#This Row],[Žiūrovų skaičius]]/Table13[[#Totals],[Žiūrovų skaičius]])*100%</f>
        <v>2.7821094706521779E-4</v>
      </c>
    </row>
    <row r="71" spans="1:7" ht="26.1" customHeight="1" x14ac:dyDescent="0.2">
      <c r="A71" s="9">
        <v>33</v>
      </c>
      <c r="B71" s="12" t="s">
        <v>11</v>
      </c>
      <c r="C71" s="10">
        <f>Artbox[[#Totals],[
Pajamos]]</f>
        <v>4913.8100000000004</v>
      </c>
      <c r="D71" s="11">
        <f>Artbox[[#Totals],[ 
Žiūrovai]]</f>
        <v>3344</v>
      </c>
      <c r="E71" s="16">
        <f>Artbox!A4</f>
        <v>2</v>
      </c>
      <c r="F71" s="43">
        <f>(Table13[[#This Row],[Pajamos  ]]/Table13[[#Totals],[Pajamos  ]])*100%</f>
        <v>2.0879167015714354E-4</v>
      </c>
      <c r="G71" s="42">
        <f>(Table13[[#This Row],[Žiūrovų skaičius]]/Table13[[#Totals],[Žiūrovų skaičius]])*100%</f>
        <v>9.1839822999613852E-4</v>
      </c>
    </row>
    <row r="72" spans="1:7" ht="26.1" customHeight="1" x14ac:dyDescent="0.2">
      <c r="A72" s="9">
        <v>34</v>
      </c>
      <c r="B72" s="12" t="s">
        <v>24</v>
      </c>
      <c r="C72" s="10">
        <f>Monoklis[[#Totals],[
Pajamos]]</f>
        <v>3196</v>
      </c>
      <c r="D72" s="11">
        <f>Monoklis[[#Totals],[ 
Žiūrovai]]</f>
        <v>612</v>
      </c>
      <c r="E72" s="16" cm="1">
        <f t="array" ref="E72">Monoklis[Eil. Nr.]</f>
        <v>1</v>
      </c>
      <c r="F72" s="43">
        <f>(Table13[[#This Row],[Pajamos  ]]/Table13[[#Totals],[Pajamos  ]])*100%</f>
        <v>1.3580056571626308E-4</v>
      </c>
      <c r="G72" s="42">
        <f>(Table13[[#This Row],[Žiūrovų skaičius]]/Table13[[#Totals],[Žiūrovų skaičius]])*100%</f>
        <v>1.6808005883900621E-4</v>
      </c>
    </row>
    <row r="73" spans="1:7" ht="26.1" customHeight="1" x14ac:dyDescent="0.2">
      <c r="A73" s="9">
        <v>35</v>
      </c>
      <c r="B73" s="12" t="s">
        <v>27</v>
      </c>
      <c r="C73" s="10">
        <f>StudioNominum[[#Totals],[
Pajamos]]</f>
        <v>3176.9</v>
      </c>
      <c r="D73" s="11">
        <f>StudioNominum[[#Totals],[ 
Žiūrovai]]</f>
        <v>802</v>
      </c>
      <c r="E73" s="16" cm="1">
        <f t="array" ref="E73">StudioNominum[Eil. Nr.]</f>
        <v>1</v>
      </c>
      <c r="F73" s="43">
        <f>(Table13[[#This Row],[Pajamos  ]]/Table13[[#Totals],[Pajamos  ]])*100%</f>
        <v>1.3498899162202636E-4</v>
      </c>
      <c r="G73" s="42">
        <f>(Table13[[#This Row],[Žiūrovų skaičius]]/Table13[[#Totals],[Žiūrovų skaičius]])*100%</f>
        <v>2.2026177645242319E-4</v>
      </c>
    </row>
    <row r="74" spans="1:7" ht="26.1" customHeight="1" x14ac:dyDescent="0.2">
      <c r="A74" s="9">
        <v>36</v>
      </c>
      <c r="B74" s="12" t="s">
        <v>306</v>
      </c>
      <c r="C74" s="10">
        <f>MFilms[[#Totals],[
Pajamos]]</f>
        <v>1100.5</v>
      </c>
      <c r="D74" s="11">
        <f>MFilms[[#Totals],[ 
Žiūrovai]]</f>
        <v>198</v>
      </c>
      <c r="E74" s="16">
        <v>2</v>
      </c>
      <c r="F74" s="43">
        <f>(Table13[[#This Row],[Pajamos  ]]/Table13[[#Totals],[Pajamos  ]])*100%</f>
        <v>4.6761114696729512E-5</v>
      </c>
      <c r="G74" s="42">
        <f>(Table13[[#This Row],[Žiūrovų skaičius]]/Table13[[#Totals],[Žiūrovų skaičius]])*100%</f>
        <v>5.4378842565560833E-5</v>
      </c>
    </row>
    <row r="75" spans="1:7" ht="26.1" customHeight="1" x14ac:dyDescent="0.2">
      <c r="A75" s="102" t="s">
        <v>34</v>
      </c>
      <c r="B75" s="97" t="s">
        <v>33</v>
      </c>
      <c r="C75" s="98">
        <f>SUBTOTAL(109,Table13[[Pajamos  ]])</f>
        <v>23534511.679999992</v>
      </c>
      <c r="D75" s="99">
        <f>SUBTOTAL(109,Table13[Žiūrovų skaičius])</f>
        <v>3641122</v>
      </c>
      <c r="E75" s="97">
        <f>SUBTOTAL(109,Table13[Filmų kiekis])</f>
        <v>395</v>
      </c>
      <c r="F75" s="100">
        <f>SUBTOTAL(109,Table13[Pajamos (Procentinė išraiška) ])</f>
        <v>1.0000000000000002</v>
      </c>
      <c r="G75" s="100">
        <f>SUBTOTAL(109,Table13[Žiūrovai (Procentinė išraiška) ])</f>
        <v>1.0000000000000002</v>
      </c>
    </row>
    <row r="76" spans="1:7" ht="26.1" hidden="1" customHeight="1" x14ac:dyDescent="0.2"/>
    <row r="80" spans="1:7" hidden="1" x14ac:dyDescent="0.2">
      <c r="C80" s="7" t="s">
        <v>34</v>
      </c>
    </row>
  </sheetData>
  <mergeCells count="2">
    <mergeCell ref="A1:G1"/>
    <mergeCell ref="A37:G37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zoomScale="70" zoomScaleNormal="70" workbookViewId="0">
      <selection activeCell="B72" sqref="B72"/>
    </sheetView>
  </sheetViews>
  <sheetFormatPr defaultColWidth="0" defaultRowHeight="12" zeroHeight="1" x14ac:dyDescent="0.2"/>
  <cols>
    <col min="1" max="1" width="15.7109375" style="74" customWidth="1"/>
    <col min="2" max="4" width="35.5703125" style="80" customWidth="1"/>
    <col min="5" max="5" width="35.5703125" style="78" customWidth="1"/>
    <col min="6" max="6" width="35.5703125" style="71" customWidth="1"/>
    <col min="7" max="7" width="35.5703125" style="78" customWidth="1"/>
    <col min="8" max="8" width="35.5703125" style="71" customWidth="1"/>
    <col min="9" max="9" width="35.5703125" style="72" customWidth="1"/>
    <col min="10" max="10" width="35.5703125" style="91" customWidth="1"/>
    <col min="11" max="11" width="35.5703125" style="8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12" ht="26.1" customHeight="1" x14ac:dyDescent="0.2">
      <c r="A1" s="167" t="s">
        <v>6</v>
      </c>
      <c r="B1" s="167"/>
      <c r="C1" s="167"/>
      <c r="D1" s="167"/>
      <c r="E1" s="167"/>
      <c r="F1" s="167"/>
      <c r="G1" s="167"/>
      <c r="H1" s="167"/>
      <c r="I1" s="167"/>
      <c r="J1" s="167"/>
      <c r="K1" s="39"/>
      <c r="L1" s="39"/>
    </row>
    <row r="2" spans="1:12" ht="26.1" customHeight="1" x14ac:dyDescent="0.2">
      <c r="A2" s="33" t="s">
        <v>5</v>
      </c>
      <c r="B2" s="34" t="s">
        <v>41</v>
      </c>
      <c r="C2" s="34" t="s">
        <v>75</v>
      </c>
      <c r="D2" s="35" t="s">
        <v>49</v>
      </c>
      <c r="E2" s="36" t="s">
        <v>53</v>
      </c>
      <c r="F2" s="35" t="s">
        <v>45</v>
      </c>
      <c r="G2" s="36" t="s">
        <v>46</v>
      </c>
      <c r="H2" s="37" t="s">
        <v>43</v>
      </c>
      <c r="I2" s="38" t="s">
        <v>44</v>
      </c>
      <c r="J2" s="85" t="s">
        <v>42</v>
      </c>
      <c r="K2"/>
    </row>
    <row r="3" spans="1:12" ht="26.1" customHeight="1" x14ac:dyDescent="0.2">
      <c r="A3" s="3">
        <v>1</v>
      </c>
      <c r="B3" s="20" t="s">
        <v>78</v>
      </c>
      <c r="C3" s="20" t="s">
        <v>79</v>
      </c>
      <c r="D3" s="6">
        <v>815729.43</v>
      </c>
      <c r="E3" s="52">
        <v>102575</v>
      </c>
      <c r="F3" s="53"/>
      <c r="G3" s="54"/>
      <c r="H3" s="83"/>
      <c r="I3" s="54"/>
      <c r="J3" s="86">
        <v>45352</v>
      </c>
      <c r="K3"/>
    </row>
    <row r="4" spans="1:12" ht="26.1" customHeight="1" x14ac:dyDescent="0.2">
      <c r="A4" s="3">
        <v>2</v>
      </c>
      <c r="B4" s="20" t="s">
        <v>86</v>
      </c>
      <c r="C4" s="20" t="s">
        <v>87</v>
      </c>
      <c r="D4" s="6">
        <v>279504.17</v>
      </c>
      <c r="E4" s="52">
        <v>48592</v>
      </c>
      <c r="F4" s="55"/>
      <c r="G4" s="56"/>
      <c r="H4" s="110"/>
      <c r="I4" s="56"/>
      <c r="J4" s="87">
        <v>45275</v>
      </c>
      <c r="K4"/>
    </row>
    <row r="5" spans="1:12" ht="26.1" customHeight="1" x14ac:dyDescent="0.2">
      <c r="A5" s="3">
        <v>3</v>
      </c>
      <c r="B5" s="20" t="s">
        <v>88</v>
      </c>
      <c r="C5" s="20" t="s">
        <v>89</v>
      </c>
      <c r="D5" s="6">
        <v>271467.61</v>
      </c>
      <c r="E5" s="52">
        <v>35008</v>
      </c>
      <c r="F5" s="55"/>
      <c r="G5" s="56"/>
      <c r="H5" s="110"/>
      <c r="I5" s="56"/>
      <c r="J5" s="87">
        <v>45569</v>
      </c>
      <c r="K5"/>
    </row>
    <row r="6" spans="1:12" ht="26.1" customHeight="1" x14ac:dyDescent="0.2">
      <c r="A6" s="3">
        <v>4</v>
      </c>
      <c r="B6" s="20" t="s">
        <v>92</v>
      </c>
      <c r="C6" s="20" t="s">
        <v>92</v>
      </c>
      <c r="D6" s="6">
        <v>215290.92</v>
      </c>
      <c r="E6" s="52">
        <v>31512</v>
      </c>
      <c r="F6" s="55"/>
      <c r="G6" s="56"/>
      <c r="H6" s="110"/>
      <c r="I6" s="56"/>
      <c r="J6" s="86">
        <v>45541</v>
      </c>
      <c r="K6"/>
    </row>
    <row r="7" spans="1:12" ht="26.1" customHeight="1" x14ac:dyDescent="0.2">
      <c r="A7" s="3">
        <v>5</v>
      </c>
      <c r="B7" s="20" t="s">
        <v>93</v>
      </c>
      <c r="C7" s="20" t="s">
        <v>94</v>
      </c>
      <c r="D7" s="6">
        <v>189998.16</v>
      </c>
      <c r="E7" s="52">
        <v>27089</v>
      </c>
      <c r="F7" s="55"/>
      <c r="G7" s="56"/>
      <c r="H7" s="110"/>
      <c r="I7" s="56"/>
      <c r="J7" s="86">
        <v>45380</v>
      </c>
      <c r="K7"/>
    </row>
    <row r="8" spans="1:12" ht="26.1" customHeight="1" x14ac:dyDescent="0.2">
      <c r="A8" s="3">
        <v>6</v>
      </c>
      <c r="B8" s="20" t="s">
        <v>97</v>
      </c>
      <c r="C8" s="20" t="s">
        <v>98</v>
      </c>
      <c r="D8" s="6">
        <v>159665.65000000002</v>
      </c>
      <c r="E8" s="52">
        <v>24275</v>
      </c>
      <c r="F8" s="55"/>
      <c r="G8" s="56"/>
      <c r="H8" s="110"/>
      <c r="I8" s="56"/>
      <c r="J8" s="86">
        <v>45604</v>
      </c>
      <c r="K8"/>
    </row>
    <row r="9" spans="1:12" ht="26.1" customHeight="1" x14ac:dyDescent="0.2">
      <c r="A9" s="3">
        <v>7</v>
      </c>
      <c r="B9" s="20" t="s">
        <v>108</v>
      </c>
      <c r="C9" s="20" t="s">
        <v>109</v>
      </c>
      <c r="D9" s="6">
        <v>114341.33</v>
      </c>
      <c r="E9" s="52">
        <v>15713</v>
      </c>
      <c r="F9" s="55"/>
      <c r="G9" s="56"/>
      <c r="H9" s="110"/>
      <c r="I9" s="56"/>
      <c r="J9" s="87">
        <v>45436</v>
      </c>
      <c r="K9"/>
    </row>
    <row r="10" spans="1:12" ht="26.1" customHeight="1" x14ac:dyDescent="0.2">
      <c r="A10" s="3">
        <v>8</v>
      </c>
      <c r="B10" s="20" t="s">
        <v>114</v>
      </c>
      <c r="C10" s="20" t="s">
        <v>115</v>
      </c>
      <c r="D10" s="6">
        <v>94036.73</v>
      </c>
      <c r="E10" s="52">
        <v>13632</v>
      </c>
      <c r="F10" s="55"/>
      <c r="G10" s="56"/>
      <c r="H10" s="110"/>
      <c r="I10" s="56"/>
      <c r="J10" s="87" t="s">
        <v>241</v>
      </c>
      <c r="K10"/>
    </row>
    <row r="11" spans="1:12" ht="26.1" customHeight="1" x14ac:dyDescent="0.2">
      <c r="A11" s="3">
        <v>9</v>
      </c>
      <c r="B11" s="20" t="s">
        <v>116</v>
      </c>
      <c r="C11" s="20" t="s">
        <v>117</v>
      </c>
      <c r="D11" s="6">
        <v>92107.12999999999</v>
      </c>
      <c r="E11" s="52">
        <v>13592</v>
      </c>
      <c r="F11" s="55"/>
      <c r="G11" s="56"/>
      <c r="H11" s="110"/>
      <c r="I11" s="56"/>
      <c r="J11" s="86">
        <v>45415</v>
      </c>
      <c r="K11"/>
    </row>
    <row r="12" spans="1:12" ht="26.1" customHeight="1" x14ac:dyDescent="0.2">
      <c r="A12" s="3">
        <v>10</v>
      </c>
      <c r="B12" s="20" t="s">
        <v>120</v>
      </c>
      <c r="C12" s="20" t="s">
        <v>121</v>
      </c>
      <c r="D12" s="6">
        <v>85002.4</v>
      </c>
      <c r="E12" s="52">
        <v>12705</v>
      </c>
      <c r="F12" s="55"/>
      <c r="G12" s="56"/>
      <c r="H12" s="110"/>
      <c r="I12" s="56"/>
      <c r="J12" s="87">
        <v>45282</v>
      </c>
      <c r="K12"/>
    </row>
    <row r="13" spans="1:12" ht="26.1" customHeight="1" x14ac:dyDescent="0.2">
      <c r="A13" s="3">
        <v>11</v>
      </c>
      <c r="B13" s="20" t="s">
        <v>135</v>
      </c>
      <c r="C13" s="20" t="s">
        <v>136</v>
      </c>
      <c r="D13" s="6">
        <v>62218.450000000004</v>
      </c>
      <c r="E13" s="52">
        <v>9700</v>
      </c>
      <c r="F13" s="55"/>
      <c r="G13" s="56"/>
      <c r="H13" s="110"/>
      <c r="I13" s="56"/>
      <c r="J13" s="86">
        <v>45450</v>
      </c>
      <c r="K13"/>
    </row>
    <row r="14" spans="1:12" ht="26.1" customHeight="1" x14ac:dyDescent="0.2">
      <c r="A14" s="3">
        <v>12</v>
      </c>
      <c r="B14" s="20" t="s">
        <v>139</v>
      </c>
      <c r="C14" s="20" t="s">
        <v>140</v>
      </c>
      <c r="D14" s="6">
        <v>59962.369999999995</v>
      </c>
      <c r="E14" s="52">
        <v>9653</v>
      </c>
      <c r="F14" s="55"/>
      <c r="G14" s="56"/>
      <c r="H14" s="110"/>
      <c r="I14" s="56"/>
      <c r="J14" s="86">
        <v>45527</v>
      </c>
      <c r="K14"/>
    </row>
    <row r="15" spans="1:12" ht="26.1" customHeight="1" x14ac:dyDescent="0.2">
      <c r="A15" s="3">
        <v>13</v>
      </c>
      <c r="B15" s="20" t="s">
        <v>145</v>
      </c>
      <c r="C15" s="20" t="s">
        <v>146</v>
      </c>
      <c r="D15" s="6">
        <v>49436.38</v>
      </c>
      <c r="E15" s="52">
        <v>7315</v>
      </c>
      <c r="F15" s="55"/>
      <c r="G15" s="56"/>
      <c r="H15" s="110"/>
      <c r="I15" s="56"/>
      <c r="J15" s="86">
        <v>45639</v>
      </c>
      <c r="K15"/>
    </row>
    <row r="16" spans="1:12" ht="26.1" customHeight="1" x14ac:dyDescent="0.2">
      <c r="A16" s="3">
        <v>14</v>
      </c>
      <c r="B16" s="20" t="s">
        <v>175</v>
      </c>
      <c r="C16" s="20" t="s">
        <v>176</v>
      </c>
      <c r="D16" s="6">
        <v>25233.07</v>
      </c>
      <c r="E16" s="52">
        <v>3536</v>
      </c>
      <c r="F16" s="55"/>
      <c r="G16" s="56"/>
      <c r="H16" s="110"/>
      <c r="I16" s="56"/>
      <c r="J16" s="87">
        <v>44456</v>
      </c>
      <c r="K16"/>
    </row>
    <row r="17" spans="1:11" ht="26.1" customHeight="1" x14ac:dyDescent="0.2">
      <c r="A17" s="3">
        <v>15</v>
      </c>
      <c r="B17" s="20" t="s">
        <v>190</v>
      </c>
      <c r="C17" s="20" t="s">
        <v>191</v>
      </c>
      <c r="D17" s="6">
        <v>16725.73</v>
      </c>
      <c r="E17" s="52">
        <v>2504</v>
      </c>
      <c r="F17" s="55"/>
      <c r="G17" s="56"/>
      <c r="H17" s="110"/>
      <c r="I17" s="56"/>
      <c r="J17" s="86">
        <v>45632</v>
      </c>
      <c r="K17"/>
    </row>
    <row r="18" spans="1:11" ht="26.1" customHeight="1" x14ac:dyDescent="0.2">
      <c r="A18" s="3">
        <v>16</v>
      </c>
      <c r="B18" s="20" t="s">
        <v>224</v>
      </c>
      <c r="C18" s="20" t="s">
        <v>225</v>
      </c>
      <c r="D18" s="6">
        <v>335.54</v>
      </c>
      <c r="E18" s="52">
        <v>55</v>
      </c>
      <c r="F18" s="55"/>
      <c r="G18" s="56"/>
      <c r="H18" s="110"/>
      <c r="I18" s="56"/>
      <c r="J18" s="86">
        <v>45128</v>
      </c>
      <c r="K18"/>
    </row>
    <row r="19" spans="1:11" ht="26.1" customHeight="1" x14ac:dyDescent="0.2">
      <c r="A19" s="3">
        <v>17</v>
      </c>
      <c r="B19" s="20" t="s">
        <v>230</v>
      </c>
      <c r="C19" s="20" t="s">
        <v>231</v>
      </c>
      <c r="D19" s="6">
        <v>278.3</v>
      </c>
      <c r="E19" s="4">
        <v>112</v>
      </c>
      <c r="F19" s="81"/>
      <c r="G19" s="82"/>
      <c r="H19" s="113"/>
      <c r="I19" s="82"/>
      <c r="J19" s="86">
        <v>44617</v>
      </c>
      <c r="K19"/>
    </row>
    <row r="20" spans="1:11" s="84" customFormat="1" ht="26.1" customHeight="1" x14ac:dyDescent="0.2">
      <c r="A20" s="3">
        <v>18</v>
      </c>
      <c r="B20" s="49" t="s">
        <v>84</v>
      </c>
      <c r="C20" s="20" t="s">
        <v>85</v>
      </c>
      <c r="D20" s="108"/>
      <c r="E20" s="109"/>
      <c r="F20" s="112">
        <v>288816.21000000002</v>
      </c>
      <c r="G20" s="104">
        <v>52837</v>
      </c>
      <c r="H20" s="114"/>
      <c r="I20" s="115"/>
      <c r="J20" s="86">
        <v>45562</v>
      </c>
    </row>
    <row r="21" spans="1:11" ht="26.1" customHeight="1" x14ac:dyDescent="0.2">
      <c r="A21" s="31">
        <v>19</v>
      </c>
      <c r="B21" s="48" t="s">
        <v>95</v>
      </c>
      <c r="C21" s="20" t="s">
        <v>96</v>
      </c>
      <c r="D21" s="110"/>
      <c r="E21" s="103"/>
      <c r="F21" s="6">
        <v>162550.93999999997</v>
      </c>
      <c r="G21" s="52">
        <v>23743</v>
      </c>
      <c r="H21" s="58"/>
      <c r="I21" s="56"/>
      <c r="J21" s="105" t="s">
        <v>241</v>
      </c>
      <c r="K21"/>
    </row>
    <row r="22" spans="1:11" ht="26.1" customHeight="1" x14ac:dyDescent="0.2">
      <c r="A22" s="3">
        <v>20</v>
      </c>
      <c r="B22" s="49" t="s">
        <v>99</v>
      </c>
      <c r="C22" s="20" t="s">
        <v>100</v>
      </c>
      <c r="D22" s="110"/>
      <c r="E22" s="103"/>
      <c r="F22" s="6">
        <v>144773.95000000001</v>
      </c>
      <c r="G22" s="52">
        <v>20851</v>
      </c>
      <c r="H22" s="58"/>
      <c r="I22" s="56"/>
      <c r="J22" s="87">
        <v>45303</v>
      </c>
      <c r="K22"/>
    </row>
    <row r="23" spans="1:11" ht="26.1" customHeight="1" x14ac:dyDescent="0.2">
      <c r="A23" s="3">
        <v>21</v>
      </c>
      <c r="B23" s="49" t="s">
        <v>103</v>
      </c>
      <c r="C23" s="20" t="s">
        <v>104</v>
      </c>
      <c r="D23" s="110"/>
      <c r="E23" s="103"/>
      <c r="F23" s="6">
        <v>139390.89000000004</v>
      </c>
      <c r="G23" s="52">
        <v>27037</v>
      </c>
      <c r="H23" s="58"/>
      <c r="I23" s="56"/>
      <c r="J23" s="86">
        <v>45331</v>
      </c>
      <c r="K23"/>
    </row>
    <row r="24" spans="1:11" ht="26.1" customHeight="1" x14ac:dyDescent="0.2">
      <c r="A24" s="3">
        <v>22</v>
      </c>
      <c r="B24" s="49" t="s">
        <v>105</v>
      </c>
      <c r="C24" s="20" t="s">
        <v>105</v>
      </c>
      <c r="D24" s="110"/>
      <c r="E24" s="103"/>
      <c r="F24" s="6">
        <v>138100.32</v>
      </c>
      <c r="G24" s="52">
        <v>20092</v>
      </c>
      <c r="H24" s="58"/>
      <c r="I24" s="56"/>
      <c r="J24" s="86">
        <v>45317</v>
      </c>
      <c r="K24"/>
    </row>
    <row r="25" spans="1:11" ht="26.1" customHeight="1" x14ac:dyDescent="0.2">
      <c r="A25" s="3">
        <v>23</v>
      </c>
      <c r="B25" s="49" t="s">
        <v>106</v>
      </c>
      <c r="C25" s="20" t="s">
        <v>107</v>
      </c>
      <c r="D25" s="110"/>
      <c r="E25" s="103"/>
      <c r="F25" s="6">
        <v>122322.7</v>
      </c>
      <c r="G25" s="52">
        <v>18392</v>
      </c>
      <c r="H25" s="58"/>
      <c r="I25" s="56"/>
      <c r="J25" s="86">
        <v>45548</v>
      </c>
      <c r="K25"/>
    </row>
    <row r="26" spans="1:11" ht="26.1" customHeight="1" x14ac:dyDescent="0.2">
      <c r="A26" s="3">
        <v>24</v>
      </c>
      <c r="B26" s="49" t="s">
        <v>112</v>
      </c>
      <c r="C26" s="20" t="s">
        <v>113</v>
      </c>
      <c r="D26" s="110"/>
      <c r="E26" s="103"/>
      <c r="F26" s="6">
        <v>95209.16</v>
      </c>
      <c r="G26" s="52">
        <v>13079</v>
      </c>
      <c r="H26" s="58"/>
      <c r="I26" s="56"/>
      <c r="J26" s="86">
        <v>45401</v>
      </c>
      <c r="K26"/>
    </row>
    <row r="27" spans="1:11" ht="26.1" customHeight="1" x14ac:dyDescent="0.2">
      <c r="A27" s="3">
        <v>25</v>
      </c>
      <c r="B27" s="49" t="s">
        <v>124</v>
      </c>
      <c r="C27" s="20" t="s">
        <v>124</v>
      </c>
      <c r="D27" s="110"/>
      <c r="E27" s="103"/>
      <c r="F27" s="6">
        <v>80317.179999999993</v>
      </c>
      <c r="G27" s="52">
        <v>12369</v>
      </c>
      <c r="H27" s="58"/>
      <c r="I27" s="56"/>
      <c r="J27" s="86">
        <v>45625</v>
      </c>
      <c r="K27"/>
    </row>
    <row r="28" spans="1:11" ht="26.1" customHeight="1" x14ac:dyDescent="0.2">
      <c r="A28" s="3">
        <v>26</v>
      </c>
      <c r="B28" s="49" t="s">
        <v>125</v>
      </c>
      <c r="C28" s="20" t="s">
        <v>126</v>
      </c>
      <c r="D28" s="110"/>
      <c r="E28" s="103"/>
      <c r="F28" s="6">
        <v>75800.739999999991</v>
      </c>
      <c r="G28" s="52">
        <v>14793</v>
      </c>
      <c r="H28" s="58"/>
      <c r="I28" s="56"/>
      <c r="J28" s="86">
        <v>45345</v>
      </c>
      <c r="K28"/>
    </row>
    <row r="29" spans="1:11" ht="26.1" customHeight="1" x14ac:dyDescent="0.2">
      <c r="A29" s="3">
        <v>27</v>
      </c>
      <c r="B29" s="49" t="s">
        <v>127</v>
      </c>
      <c r="C29" s="20" t="s">
        <v>128</v>
      </c>
      <c r="D29" s="110"/>
      <c r="E29" s="103"/>
      <c r="F29" s="6">
        <v>71223.510000000009</v>
      </c>
      <c r="G29" s="52">
        <v>13948</v>
      </c>
      <c r="H29" s="58"/>
      <c r="I29" s="56"/>
      <c r="J29" s="87">
        <v>45513</v>
      </c>
      <c r="K29"/>
    </row>
    <row r="30" spans="1:11" ht="26.1" customHeight="1" x14ac:dyDescent="0.2">
      <c r="A30" s="3">
        <v>28</v>
      </c>
      <c r="B30" s="49" t="s">
        <v>129</v>
      </c>
      <c r="C30" s="20" t="s">
        <v>130</v>
      </c>
      <c r="D30" s="110"/>
      <c r="E30" s="103"/>
      <c r="F30" s="6">
        <v>70573.710000000006</v>
      </c>
      <c r="G30" s="52">
        <v>10351</v>
      </c>
      <c r="H30" s="58"/>
      <c r="I30" s="56"/>
      <c r="J30" s="86">
        <v>45373</v>
      </c>
      <c r="K30"/>
    </row>
    <row r="31" spans="1:11" ht="26.1" customHeight="1" x14ac:dyDescent="0.2">
      <c r="A31" s="3">
        <v>29</v>
      </c>
      <c r="B31" s="49" t="s">
        <v>131</v>
      </c>
      <c r="C31" s="20" t="s">
        <v>132</v>
      </c>
      <c r="D31" s="110"/>
      <c r="E31" s="103"/>
      <c r="F31" s="6">
        <v>65981.22</v>
      </c>
      <c r="G31" s="52">
        <v>13024</v>
      </c>
      <c r="H31" s="58"/>
      <c r="I31" s="56"/>
      <c r="J31" s="86">
        <v>45373</v>
      </c>
      <c r="K31"/>
    </row>
    <row r="32" spans="1:11" ht="26.1" customHeight="1" x14ac:dyDescent="0.2">
      <c r="A32" s="3">
        <v>30</v>
      </c>
      <c r="B32" s="49" t="s">
        <v>133</v>
      </c>
      <c r="C32" s="20" t="s">
        <v>134</v>
      </c>
      <c r="D32" s="110"/>
      <c r="E32" s="103"/>
      <c r="F32" s="6">
        <v>63534.670000000006</v>
      </c>
      <c r="G32" s="52">
        <v>12139</v>
      </c>
      <c r="H32" s="58"/>
      <c r="I32" s="56"/>
      <c r="J32" s="86">
        <v>45583</v>
      </c>
      <c r="K32"/>
    </row>
    <row r="33" spans="1:11" ht="26.1" customHeight="1" x14ac:dyDescent="0.2">
      <c r="A33" s="3">
        <v>31</v>
      </c>
      <c r="B33" s="49" t="s">
        <v>137</v>
      </c>
      <c r="C33" s="20" t="s">
        <v>138</v>
      </c>
      <c r="D33" s="110"/>
      <c r="E33" s="103"/>
      <c r="F33" s="6">
        <v>60048.899999999994</v>
      </c>
      <c r="G33" s="52">
        <v>8970</v>
      </c>
      <c r="H33" s="58"/>
      <c r="I33" s="56"/>
      <c r="J33" s="86">
        <v>45597</v>
      </c>
      <c r="K33"/>
    </row>
    <row r="34" spans="1:11" ht="26.1" customHeight="1" x14ac:dyDescent="0.2">
      <c r="A34" s="3">
        <v>32</v>
      </c>
      <c r="B34" s="49" t="s">
        <v>141</v>
      </c>
      <c r="C34" s="20" t="s">
        <v>142</v>
      </c>
      <c r="D34" s="110"/>
      <c r="E34" s="103"/>
      <c r="F34" s="6">
        <v>52345.38</v>
      </c>
      <c r="G34" s="52">
        <v>8259</v>
      </c>
      <c r="H34" s="58"/>
      <c r="I34" s="56"/>
      <c r="J34" s="86">
        <v>45366</v>
      </c>
      <c r="K34"/>
    </row>
    <row r="35" spans="1:11" ht="26.1" customHeight="1" x14ac:dyDescent="0.2">
      <c r="A35" s="3">
        <v>33</v>
      </c>
      <c r="B35" s="49" t="s">
        <v>143</v>
      </c>
      <c r="C35" s="20" t="s">
        <v>144</v>
      </c>
      <c r="D35" s="110"/>
      <c r="E35" s="103"/>
      <c r="F35" s="6">
        <v>49776.1</v>
      </c>
      <c r="G35" s="52">
        <v>9787</v>
      </c>
      <c r="H35" s="58"/>
      <c r="I35" s="56"/>
      <c r="J35" s="86">
        <v>45310</v>
      </c>
      <c r="K35"/>
    </row>
    <row r="36" spans="1:11" ht="26.1" customHeight="1" x14ac:dyDescent="0.2">
      <c r="A36" s="3">
        <v>34</v>
      </c>
      <c r="B36" s="49" t="s">
        <v>147</v>
      </c>
      <c r="C36" s="20" t="s">
        <v>148</v>
      </c>
      <c r="D36" s="110"/>
      <c r="E36" s="103"/>
      <c r="F36" s="6">
        <v>48615.33</v>
      </c>
      <c r="G36" s="52">
        <v>9347</v>
      </c>
      <c r="H36" s="58"/>
      <c r="I36" s="56"/>
      <c r="J36" s="87">
        <v>45296</v>
      </c>
      <c r="K36"/>
    </row>
    <row r="37" spans="1:11" ht="26.1" customHeight="1" x14ac:dyDescent="0.2">
      <c r="A37" s="3">
        <v>35</v>
      </c>
      <c r="B37" s="49" t="s">
        <v>149</v>
      </c>
      <c r="C37" s="20" t="s">
        <v>150</v>
      </c>
      <c r="D37" s="110"/>
      <c r="E37" s="103"/>
      <c r="F37" s="6">
        <v>40759.75</v>
      </c>
      <c r="G37" s="52">
        <v>5891</v>
      </c>
      <c r="H37" s="58"/>
      <c r="I37" s="56"/>
      <c r="J37" s="86">
        <v>45359</v>
      </c>
      <c r="K37"/>
    </row>
    <row r="38" spans="1:11" ht="26.1" customHeight="1" x14ac:dyDescent="0.2">
      <c r="A38" s="3">
        <v>36</v>
      </c>
      <c r="B38" s="49" t="s">
        <v>155</v>
      </c>
      <c r="C38" s="20" t="s">
        <v>156</v>
      </c>
      <c r="D38" s="110"/>
      <c r="E38" s="103"/>
      <c r="F38" s="6">
        <v>36247.69</v>
      </c>
      <c r="G38" s="52">
        <v>5717</v>
      </c>
      <c r="H38" s="58"/>
      <c r="I38" s="56"/>
      <c r="J38" s="86">
        <v>45513</v>
      </c>
      <c r="K38"/>
    </row>
    <row r="39" spans="1:11" ht="26.1" customHeight="1" x14ac:dyDescent="0.2">
      <c r="A39" s="3">
        <v>37</v>
      </c>
      <c r="B39" s="49" t="s">
        <v>157</v>
      </c>
      <c r="C39" s="20" t="s">
        <v>158</v>
      </c>
      <c r="D39" s="110"/>
      <c r="E39" s="103"/>
      <c r="F39" s="6">
        <v>34235.480000000003</v>
      </c>
      <c r="G39" s="52">
        <v>5723</v>
      </c>
      <c r="H39" s="58"/>
      <c r="I39" s="56"/>
      <c r="J39" s="87">
        <v>45303</v>
      </c>
      <c r="K39"/>
    </row>
    <row r="40" spans="1:11" ht="26.1" customHeight="1" x14ac:dyDescent="0.2">
      <c r="A40" s="3">
        <v>38</v>
      </c>
      <c r="B40" s="49" t="s">
        <v>163</v>
      </c>
      <c r="C40" s="20" t="s">
        <v>164</v>
      </c>
      <c r="D40" s="110"/>
      <c r="E40" s="103"/>
      <c r="F40" s="6">
        <v>31057.14</v>
      </c>
      <c r="G40" s="52">
        <v>4907</v>
      </c>
      <c r="H40" s="58"/>
      <c r="I40" s="56"/>
      <c r="J40" s="87">
        <v>45324</v>
      </c>
      <c r="K40"/>
    </row>
    <row r="41" spans="1:11" ht="26.1" customHeight="1" x14ac:dyDescent="0.2">
      <c r="A41" s="3">
        <v>39</v>
      </c>
      <c r="B41" s="49" t="s">
        <v>165</v>
      </c>
      <c r="C41" s="20" t="s">
        <v>166</v>
      </c>
      <c r="D41" s="110"/>
      <c r="E41" s="103"/>
      <c r="F41" s="6">
        <v>30617.53</v>
      </c>
      <c r="G41" s="52">
        <v>5944</v>
      </c>
      <c r="H41" s="58"/>
      <c r="I41" s="56"/>
      <c r="J41" s="86">
        <v>45408</v>
      </c>
      <c r="K41"/>
    </row>
    <row r="42" spans="1:11" ht="26.1" customHeight="1" x14ac:dyDescent="0.2">
      <c r="A42" s="3">
        <v>40</v>
      </c>
      <c r="B42" s="49" t="s">
        <v>167</v>
      </c>
      <c r="C42" s="20" t="s">
        <v>168</v>
      </c>
      <c r="D42" s="110"/>
      <c r="E42" s="103"/>
      <c r="F42" s="6">
        <v>29564.730000000003</v>
      </c>
      <c r="G42" s="52">
        <v>4462</v>
      </c>
      <c r="H42" s="58"/>
      <c r="I42" s="56"/>
      <c r="J42" s="86">
        <v>45436</v>
      </c>
      <c r="K42"/>
    </row>
    <row r="43" spans="1:11" ht="26.1" customHeight="1" x14ac:dyDescent="0.2">
      <c r="A43" s="3">
        <v>41</v>
      </c>
      <c r="B43" s="49" t="s">
        <v>169</v>
      </c>
      <c r="C43" s="20" t="s">
        <v>170</v>
      </c>
      <c r="D43" s="110"/>
      <c r="E43" s="103"/>
      <c r="F43" s="6">
        <v>27793.620000000003</v>
      </c>
      <c r="G43" s="52">
        <v>4192</v>
      </c>
      <c r="H43" s="58"/>
      <c r="I43" s="56"/>
      <c r="J43" s="87">
        <v>45555</v>
      </c>
      <c r="K43"/>
    </row>
    <row r="44" spans="1:11" ht="26.1" customHeight="1" x14ac:dyDescent="0.2">
      <c r="A44" s="3">
        <v>42</v>
      </c>
      <c r="B44" s="49" t="s">
        <v>171</v>
      </c>
      <c r="C44" s="20" t="s">
        <v>172</v>
      </c>
      <c r="D44" s="110"/>
      <c r="E44" s="103"/>
      <c r="F44" s="6">
        <v>26593.58</v>
      </c>
      <c r="G44" s="52">
        <v>3716</v>
      </c>
      <c r="H44" s="58"/>
      <c r="I44" s="56"/>
      <c r="J44" s="86">
        <v>45527</v>
      </c>
      <c r="K44"/>
    </row>
    <row r="45" spans="1:11" ht="26.1" customHeight="1" x14ac:dyDescent="0.2">
      <c r="A45" s="3">
        <v>43</v>
      </c>
      <c r="B45" s="49" t="s">
        <v>173</v>
      </c>
      <c r="C45" s="20" t="s">
        <v>174</v>
      </c>
      <c r="D45" s="110"/>
      <c r="E45" s="103"/>
      <c r="F45" s="6">
        <v>26278.05</v>
      </c>
      <c r="G45" s="52">
        <v>4482</v>
      </c>
      <c r="H45" s="58"/>
      <c r="I45" s="56"/>
      <c r="J45" s="86">
        <v>45359</v>
      </c>
      <c r="K45"/>
    </row>
    <row r="46" spans="1:11" ht="26.1" customHeight="1" x14ac:dyDescent="0.2">
      <c r="A46" s="3">
        <v>44</v>
      </c>
      <c r="B46" s="49" t="s">
        <v>177</v>
      </c>
      <c r="C46" s="20" t="s">
        <v>178</v>
      </c>
      <c r="D46" s="110"/>
      <c r="E46" s="103"/>
      <c r="F46" s="6">
        <v>24861.850000000002</v>
      </c>
      <c r="G46" s="52">
        <v>3524</v>
      </c>
      <c r="H46" s="58"/>
      <c r="I46" s="56"/>
      <c r="J46" s="87">
        <v>45604</v>
      </c>
      <c r="K46"/>
    </row>
    <row r="47" spans="1:11" ht="26.1" customHeight="1" x14ac:dyDescent="0.2">
      <c r="A47" s="3">
        <v>45</v>
      </c>
      <c r="B47" s="49" t="s">
        <v>179</v>
      </c>
      <c r="C47" s="20" t="s">
        <v>180</v>
      </c>
      <c r="D47" s="110"/>
      <c r="E47" s="103"/>
      <c r="F47" s="6">
        <v>24802.19</v>
      </c>
      <c r="G47" s="52">
        <v>3646</v>
      </c>
      <c r="H47" s="55"/>
      <c r="I47" s="56"/>
      <c r="J47" s="86">
        <v>45331</v>
      </c>
      <c r="K47"/>
    </row>
    <row r="48" spans="1:11" ht="26.1" customHeight="1" x14ac:dyDescent="0.2">
      <c r="A48" s="3">
        <v>46</v>
      </c>
      <c r="B48" s="49" t="s">
        <v>181</v>
      </c>
      <c r="C48" s="20" t="s">
        <v>181</v>
      </c>
      <c r="D48" s="110"/>
      <c r="E48" s="103"/>
      <c r="F48" s="6">
        <v>24385.280000000002</v>
      </c>
      <c r="G48" s="52">
        <v>4501</v>
      </c>
      <c r="H48" s="55"/>
      <c r="I48" s="56"/>
      <c r="J48" s="86">
        <v>45345</v>
      </c>
      <c r="K48"/>
    </row>
    <row r="49" spans="1:11" ht="26.1" customHeight="1" x14ac:dyDescent="0.2">
      <c r="A49" s="3">
        <v>47</v>
      </c>
      <c r="B49" s="49" t="s">
        <v>182</v>
      </c>
      <c r="C49" s="20" t="s">
        <v>183</v>
      </c>
      <c r="D49" s="110"/>
      <c r="E49" s="103"/>
      <c r="F49" s="6">
        <v>23983.3</v>
      </c>
      <c r="G49" s="52">
        <v>3704</v>
      </c>
      <c r="H49" s="55"/>
      <c r="I49" s="56"/>
      <c r="J49" s="86">
        <v>45247</v>
      </c>
      <c r="K49"/>
    </row>
    <row r="50" spans="1:11" ht="26.1" customHeight="1" x14ac:dyDescent="0.2">
      <c r="A50" s="3">
        <v>48</v>
      </c>
      <c r="B50" s="49" t="s">
        <v>184</v>
      </c>
      <c r="C50" s="20" t="s">
        <v>185</v>
      </c>
      <c r="D50" s="110"/>
      <c r="E50" s="103"/>
      <c r="F50" s="6">
        <v>22197.78</v>
      </c>
      <c r="G50" s="52">
        <v>3471</v>
      </c>
      <c r="H50" s="55"/>
      <c r="I50" s="56"/>
      <c r="J50" s="86">
        <v>45534</v>
      </c>
      <c r="K50"/>
    </row>
    <row r="51" spans="1:11" ht="26.1" customHeight="1" x14ac:dyDescent="0.2">
      <c r="A51" s="3">
        <v>49</v>
      </c>
      <c r="B51" s="49" t="s">
        <v>186</v>
      </c>
      <c r="C51" s="20" t="s">
        <v>187</v>
      </c>
      <c r="D51" s="110"/>
      <c r="E51" s="103"/>
      <c r="F51" s="6">
        <v>22064.94</v>
      </c>
      <c r="G51" s="52">
        <v>3992</v>
      </c>
      <c r="H51" s="55"/>
      <c r="I51" s="56"/>
      <c r="J51" s="86">
        <v>45611</v>
      </c>
      <c r="K51"/>
    </row>
    <row r="52" spans="1:11" ht="26.1" customHeight="1" x14ac:dyDescent="0.2">
      <c r="A52" s="3">
        <v>50</v>
      </c>
      <c r="B52" s="49" t="s">
        <v>188</v>
      </c>
      <c r="C52" s="20" t="s">
        <v>189</v>
      </c>
      <c r="D52" s="110"/>
      <c r="E52" s="103"/>
      <c r="F52" s="6">
        <v>20574.650000000001</v>
      </c>
      <c r="G52" s="52">
        <v>4326</v>
      </c>
      <c r="H52" s="55"/>
      <c r="I52" s="56"/>
      <c r="J52" s="86">
        <v>45534</v>
      </c>
      <c r="K52"/>
    </row>
    <row r="53" spans="1:11" ht="26.1" customHeight="1" x14ac:dyDescent="0.2">
      <c r="A53" s="3">
        <v>51</v>
      </c>
      <c r="B53" s="49" t="s">
        <v>194</v>
      </c>
      <c r="C53" s="20" t="s">
        <v>195</v>
      </c>
      <c r="D53" s="110"/>
      <c r="E53" s="103"/>
      <c r="F53" s="6">
        <v>14842.66</v>
      </c>
      <c r="G53" s="52">
        <v>2773</v>
      </c>
      <c r="H53" s="55"/>
      <c r="I53" s="56"/>
      <c r="J53" s="87">
        <v>45597</v>
      </c>
      <c r="K53"/>
    </row>
    <row r="54" spans="1:11" ht="26.1" customHeight="1" x14ac:dyDescent="0.2">
      <c r="A54" s="3">
        <v>52</v>
      </c>
      <c r="B54" s="49" t="s">
        <v>196</v>
      </c>
      <c r="C54" s="20" t="s">
        <v>197</v>
      </c>
      <c r="D54" s="110"/>
      <c r="E54" s="103"/>
      <c r="F54" s="6">
        <v>13202.98</v>
      </c>
      <c r="G54" s="52">
        <v>2001</v>
      </c>
      <c r="H54" s="55"/>
      <c r="I54" s="56"/>
      <c r="J54" s="87">
        <v>45590</v>
      </c>
      <c r="K54"/>
    </row>
    <row r="55" spans="1:11" ht="26.1" customHeight="1" x14ac:dyDescent="0.2">
      <c r="A55" s="3">
        <v>53</v>
      </c>
      <c r="B55" s="49" t="s">
        <v>198</v>
      </c>
      <c r="C55" s="20" t="s">
        <v>199</v>
      </c>
      <c r="D55" s="110"/>
      <c r="E55" s="103"/>
      <c r="F55" s="6">
        <v>10790.1</v>
      </c>
      <c r="G55" s="52">
        <v>1717</v>
      </c>
      <c r="H55" s="55"/>
      <c r="I55" s="56"/>
      <c r="J55" s="86">
        <v>45254</v>
      </c>
      <c r="K55"/>
    </row>
    <row r="56" spans="1:11" ht="26.1" customHeight="1" x14ac:dyDescent="0.2">
      <c r="A56" s="3">
        <v>54</v>
      </c>
      <c r="B56" s="49" t="s">
        <v>200</v>
      </c>
      <c r="C56" s="20" t="s">
        <v>201</v>
      </c>
      <c r="D56" s="110"/>
      <c r="E56" s="103"/>
      <c r="F56" s="6">
        <v>8366.08</v>
      </c>
      <c r="G56" s="52">
        <v>1239</v>
      </c>
      <c r="H56" s="55"/>
      <c r="I56" s="56"/>
      <c r="J56" s="87">
        <v>45387</v>
      </c>
      <c r="K56"/>
    </row>
    <row r="57" spans="1:11" ht="26.1" customHeight="1" x14ac:dyDescent="0.2">
      <c r="A57" s="3">
        <v>55</v>
      </c>
      <c r="B57" s="49" t="s">
        <v>202</v>
      </c>
      <c r="C57" s="20" t="s">
        <v>203</v>
      </c>
      <c r="D57" s="110"/>
      <c r="E57" s="103"/>
      <c r="F57" s="6">
        <v>6858.28</v>
      </c>
      <c r="G57" s="52">
        <v>1135</v>
      </c>
      <c r="H57" s="55"/>
      <c r="I57" s="56"/>
      <c r="J57" s="86">
        <v>45562</v>
      </c>
      <c r="K57"/>
    </row>
    <row r="58" spans="1:11" ht="26.1" customHeight="1" x14ac:dyDescent="0.2">
      <c r="A58" s="3">
        <v>56</v>
      </c>
      <c r="B58" s="49" t="s">
        <v>204</v>
      </c>
      <c r="C58" s="20" t="s">
        <v>205</v>
      </c>
      <c r="D58" s="110"/>
      <c r="E58" s="103"/>
      <c r="F58" s="6">
        <v>6480.56</v>
      </c>
      <c r="G58" s="52">
        <v>924</v>
      </c>
      <c r="H58" s="55"/>
      <c r="I58" s="56"/>
      <c r="J58" s="86">
        <v>45653</v>
      </c>
      <c r="K58"/>
    </row>
    <row r="59" spans="1:11" ht="26.1" customHeight="1" x14ac:dyDescent="0.2">
      <c r="A59" s="3">
        <v>57</v>
      </c>
      <c r="B59" s="49" t="s">
        <v>208</v>
      </c>
      <c r="C59" s="20" t="s">
        <v>209</v>
      </c>
      <c r="D59" s="110"/>
      <c r="E59" s="103"/>
      <c r="F59" s="6">
        <v>4818.55</v>
      </c>
      <c r="G59" s="52">
        <v>812</v>
      </c>
      <c r="H59" s="55"/>
      <c r="I59" s="56"/>
      <c r="J59" s="87">
        <v>45471</v>
      </c>
      <c r="K59"/>
    </row>
    <row r="60" spans="1:11" ht="26.1" customHeight="1" x14ac:dyDescent="0.2">
      <c r="A60" s="3">
        <v>58</v>
      </c>
      <c r="B60" s="49" t="s">
        <v>70</v>
      </c>
      <c r="C60" s="20" t="s">
        <v>70</v>
      </c>
      <c r="D60" s="110"/>
      <c r="E60" s="103"/>
      <c r="F60" s="6">
        <v>3812.2300000000005</v>
      </c>
      <c r="G60" s="52">
        <v>1044</v>
      </c>
      <c r="H60" s="55"/>
      <c r="I60" s="56"/>
      <c r="J60" s="86">
        <v>44659</v>
      </c>
      <c r="K60"/>
    </row>
    <row r="61" spans="1:11" ht="26.1" customHeight="1" x14ac:dyDescent="0.2">
      <c r="A61" s="3">
        <v>59</v>
      </c>
      <c r="B61" s="49" t="s">
        <v>210</v>
      </c>
      <c r="C61" s="20" t="s">
        <v>210</v>
      </c>
      <c r="D61" s="110"/>
      <c r="E61" s="103"/>
      <c r="F61" s="6">
        <v>2672.99</v>
      </c>
      <c r="G61" s="52">
        <v>609</v>
      </c>
      <c r="H61" s="55"/>
      <c r="I61" s="56"/>
      <c r="J61" s="87">
        <v>44974</v>
      </c>
      <c r="K61"/>
    </row>
    <row r="62" spans="1:11" ht="26.1" customHeight="1" x14ac:dyDescent="0.2">
      <c r="A62" s="3">
        <v>60</v>
      </c>
      <c r="B62" s="49" t="s">
        <v>211</v>
      </c>
      <c r="C62" s="20" t="s">
        <v>212</v>
      </c>
      <c r="D62" s="110"/>
      <c r="E62" s="103"/>
      <c r="F62" s="6">
        <v>2283</v>
      </c>
      <c r="G62" s="52">
        <v>354</v>
      </c>
      <c r="H62" s="55"/>
      <c r="I62" s="56"/>
      <c r="J62" s="87">
        <v>42713</v>
      </c>
      <c r="K62"/>
    </row>
    <row r="63" spans="1:11" ht="26.1" customHeight="1" x14ac:dyDescent="0.2">
      <c r="A63" s="3">
        <v>61</v>
      </c>
      <c r="B63" s="49" t="s">
        <v>213</v>
      </c>
      <c r="C63" s="20" t="s">
        <v>214</v>
      </c>
      <c r="D63" s="110"/>
      <c r="E63" s="103"/>
      <c r="F63" s="6">
        <v>2094.69</v>
      </c>
      <c r="G63" s="52">
        <v>631</v>
      </c>
      <c r="H63" s="55"/>
      <c r="I63" s="56"/>
      <c r="J63" s="86">
        <v>44855</v>
      </c>
      <c r="K63"/>
    </row>
    <row r="64" spans="1:11" ht="26.1" customHeight="1" x14ac:dyDescent="0.2">
      <c r="A64" s="3">
        <v>62</v>
      </c>
      <c r="B64" s="49" t="s">
        <v>215</v>
      </c>
      <c r="C64" s="20" t="s">
        <v>216</v>
      </c>
      <c r="D64" s="110"/>
      <c r="E64" s="103"/>
      <c r="F64" s="6">
        <v>1814.85</v>
      </c>
      <c r="G64" s="52">
        <v>736</v>
      </c>
      <c r="H64" s="55"/>
      <c r="I64" s="56"/>
      <c r="J64" s="87">
        <v>45240</v>
      </c>
      <c r="K64"/>
    </row>
    <row r="65" spans="1:11" ht="26.1" customHeight="1" x14ac:dyDescent="0.2">
      <c r="A65" s="31">
        <v>63</v>
      </c>
      <c r="B65" s="48" t="s">
        <v>217</v>
      </c>
      <c r="C65" s="20" t="s">
        <v>217</v>
      </c>
      <c r="D65" s="110"/>
      <c r="E65" s="103"/>
      <c r="F65" s="6">
        <v>1338</v>
      </c>
      <c r="G65" s="52">
        <v>573</v>
      </c>
      <c r="H65" s="55"/>
      <c r="I65" s="56"/>
      <c r="J65" s="111">
        <v>45121</v>
      </c>
      <c r="K65"/>
    </row>
    <row r="66" spans="1:11" ht="26.1" customHeight="1" x14ac:dyDescent="0.2">
      <c r="A66" s="3">
        <v>64</v>
      </c>
      <c r="B66" s="49" t="s">
        <v>218</v>
      </c>
      <c r="C66" s="20" t="s">
        <v>219</v>
      </c>
      <c r="D66" s="110"/>
      <c r="E66" s="103"/>
      <c r="F66" s="6">
        <v>1067</v>
      </c>
      <c r="G66" s="52">
        <v>460</v>
      </c>
      <c r="H66" s="55"/>
      <c r="I66" s="56"/>
      <c r="J66" s="87">
        <v>45184</v>
      </c>
      <c r="K66"/>
    </row>
    <row r="67" spans="1:11" ht="26.1" customHeight="1" x14ac:dyDescent="0.2">
      <c r="A67" s="3">
        <v>65</v>
      </c>
      <c r="B67" s="49" t="s">
        <v>220</v>
      </c>
      <c r="C67" s="20" t="s">
        <v>221</v>
      </c>
      <c r="D67" s="110"/>
      <c r="E67" s="103"/>
      <c r="F67" s="6">
        <v>655.5</v>
      </c>
      <c r="G67" s="52">
        <v>97</v>
      </c>
      <c r="H67" s="55"/>
      <c r="I67" s="56"/>
      <c r="J67" s="87">
        <v>44953</v>
      </c>
      <c r="K67"/>
    </row>
    <row r="68" spans="1:11" ht="26.1" customHeight="1" x14ac:dyDescent="0.2">
      <c r="A68" s="3">
        <v>66</v>
      </c>
      <c r="B68" s="49" t="s">
        <v>222</v>
      </c>
      <c r="C68" s="20" t="s">
        <v>223</v>
      </c>
      <c r="D68" s="110"/>
      <c r="E68" s="103"/>
      <c r="F68" s="6">
        <v>406.9</v>
      </c>
      <c r="G68" s="52">
        <v>171</v>
      </c>
      <c r="H68" s="55"/>
      <c r="I68" s="56"/>
      <c r="J68" s="87">
        <v>44645</v>
      </c>
      <c r="K68"/>
    </row>
    <row r="69" spans="1:11" ht="26.1" customHeight="1" x14ac:dyDescent="0.2">
      <c r="A69" s="3">
        <v>67</v>
      </c>
      <c r="B69" s="49" t="s">
        <v>228</v>
      </c>
      <c r="C69" s="20" t="s">
        <v>229</v>
      </c>
      <c r="D69" s="110"/>
      <c r="E69" s="103"/>
      <c r="F69" s="6">
        <v>280</v>
      </c>
      <c r="G69" s="52">
        <v>70</v>
      </c>
      <c r="H69" s="55"/>
      <c r="I69" s="56"/>
      <c r="J69" s="87">
        <v>43385</v>
      </c>
      <c r="K69"/>
    </row>
    <row r="70" spans="1:11" ht="26.1" customHeight="1" x14ac:dyDescent="0.2">
      <c r="A70" s="3">
        <v>68</v>
      </c>
      <c r="B70" s="49" t="s">
        <v>232</v>
      </c>
      <c r="C70" s="20" t="s">
        <v>232</v>
      </c>
      <c r="D70" s="110"/>
      <c r="E70" s="103"/>
      <c r="F70" s="6">
        <v>265</v>
      </c>
      <c r="G70" s="52">
        <v>93</v>
      </c>
      <c r="H70" s="55"/>
      <c r="I70" s="56"/>
      <c r="J70" s="87">
        <v>45205</v>
      </c>
      <c r="K70"/>
    </row>
    <row r="71" spans="1:11" ht="26.1" customHeight="1" x14ac:dyDescent="0.2">
      <c r="A71" s="3">
        <v>69</v>
      </c>
      <c r="B71" s="49" t="s">
        <v>235</v>
      </c>
      <c r="C71" s="20" t="s">
        <v>236</v>
      </c>
      <c r="D71" s="110"/>
      <c r="E71" s="103"/>
      <c r="F71" s="6">
        <v>200</v>
      </c>
      <c r="G71" s="52">
        <v>40</v>
      </c>
      <c r="H71" s="55"/>
      <c r="I71" s="56"/>
      <c r="J71" s="87">
        <v>43518</v>
      </c>
      <c r="K71"/>
    </row>
    <row r="72" spans="1:11" ht="26.1" customHeight="1" x14ac:dyDescent="0.2">
      <c r="A72" s="3">
        <v>70</v>
      </c>
      <c r="B72" s="49" t="s">
        <v>237</v>
      </c>
      <c r="C72" s="20" t="s">
        <v>238</v>
      </c>
      <c r="D72" s="57"/>
      <c r="E72" s="60"/>
      <c r="F72" s="6">
        <v>150</v>
      </c>
      <c r="G72" s="52">
        <v>60</v>
      </c>
      <c r="H72" s="81"/>
      <c r="I72" s="82"/>
      <c r="J72" s="87">
        <v>42321</v>
      </c>
      <c r="K72"/>
    </row>
    <row r="73" spans="1:11" ht="26.1" customHeight="1" x14ac:dyDescent="0.2">
      <c r="A73" s="3">
        <v>71</v>
      </c>
      <c r="B73" s="20" t="s">
        <v>76</v>
      </c>
      <c r="C73" s="20" t="s">
        <v>77</v>
      </c>
      <c r="D73" s="110"/>
      <c r="E73" s="103"/>
      <c r="F73" s="132"/>
      <c r="G73" s="138"/>
      <c r="H73" s="6">
        <v>856146.09000000008</v>
      </c>
      <c r="I73" s="4">
        <v>118875</v>
      </c>
      <c r="J73" s="89">
        <v>45513</v>
      </c>
      <c r="K73">
        <v>118875</v>
      </c>
    </row>
    <row r="74" spans="1:11" ht="26.1" customHeight="1" x14ac:dyDescent="0.2">
      <c r="A74" s="3">
        <v>72</v>
      </c>
      <c r="B74" s="20" t="s">
        <v>80</v>
      </c>
      <c r="C74" s="20" t="s">
        <v>81</v>
      </c>
      <c r="D74" s="110"/>
      <c r="E74" s="103"/>
      <c r="F74" s="58"/>
      <c r="G74" s="61"/>
      <c r="H74" s="6">
        <v>531311.1100000001</v>
      </c>
      <c r="I74" s="4">
        <v>98478</v>
      </c>
      <c r="J74" s="89">
        <v>45436</v>
      </c>
      <c r="K74"/>
    </row>
    <row r="75" spans="1:11" ht="26.1" customHeight="1" x14ac:dyDescent="0.2">
      <c r="A75" s="3">
        <v>73</v>
      </c>
      <c r="B75" s="20" t="s">
        <v>82</v>
      </c>
      <c r="C75" s="20" t="s">
        <v>83</v>
      </c>
      <c r="D75" s="110"/>
      <c r="E75" s="103"/>
      <c r="F75" s="58"/>
      <c r="G75" s="61"/>
      <c r="H75" s="6">
        <v>436514.68</v>
      </c>
      <c r="I75" s="4">
        <v>55916</v>
      </c>
      <c r="J75" s="89">
        <v>45590</v>
      </c>
      <c r="K75"/>
    </row>
    <row r="76" spans="1:11" ht="26.1" customHeight="1" x14ac:dyDescent="0.2">
      <c r="A76" s="3">
        <v>74</v>
      </c>
      <c r="B76" s="20" t="s">
        <v>90</v>
      </c>
      <c r="C76" s="20" t="s">
        <v>91</v>
      </c>
      <c r="D76" s="110"/>
      <c r="E76" s="103"/>
      <c r="F76" s="58"/>
      <c r="G76" s="61"/>
      <c r="H76" s="6">
        <v>237660.22999999998</v>
      </c>
      <c r="I76" s="4">
        <v>32151</v>
      </c>
      <c r="J76" s="89">
        <v>45450</v>
      </c>
      <c r="K76"/>
    </row>
    <row r="77" spans="1:11" ht="26.1" customHeight="1" x14ac:dyDescent="0.2">
      <c r="A77" s="3">
        <v>75</v>
      </c>
      <c r="B77" s="20" t="s">
        <v>101</v>
      </c>
      <c r="C77" s="20" t="s">
        <v>102</v>
      </c>
      <c r="D77" s="110"/>
      <c r="E77" s="103"/>
      <c r="F77" s="58"/>
      <c r="G77" s="61"/>
      <c r="H77" s="6">
        <v>140820.03</v>
      </c>
      <c r="I77" s="4">
        <v>21147</v>
      </c>
      <c r="J77" s="89">
        <v>45296</v>
      </c>
      <c r="K77"/>
    </row>
    <row r="78" spans="1:11" ht="26.1" customHeight="1" x14ac:dyDescent="0.2">
      <c r="A78" s="3">
        <v>76</v>
      </c>
      <c r="B78" s="20" t="s">
        <v>110</v>
      </c>
      <c r="C78" s="20" t="s">
        <v>111</v>
      </c>
      <c r="D78" s="110"/>
      <c r="E78" s="103"/>
      <c r="F78" s="58"/>
      <c r="G78" s="61"/>
      <c r="H78" s="6">
        <v>95429.92</v>
      </c>
      <c r="I78" s="4">
        <v>13875</v>
      </c>
      <c r="J78" s="89">
        <v>45422</v>
      </c>
      <c r="K78"/>
    </row>
    <row r="79" spans="1:11" ht="26.1" customHeight="1" x14ac:dyDescent="0.2">
      <c r="A79" s="3">
        <v>77</v>
      </c>
      <c r="B79" s="20" t="s">
        <v>118</v>
      </c>
      <c r="C79" s="20" t="s">
        <v>119</v>
      </c>
      <c r="D79" s="110"/>
      <c r="E79" s="103"/>
      <c r="F79" s="58"/>
      <c r="G79" s="61"/>
      <c r="H79" s="6">
        <v>89050.95</v>
      </c>
      <c r="I79" s="4">
        <v>14132</v>
      </c>
      <c r="J79" s="89">
        <v>45373</v>
      </c>
      <c r="K79"/>
    </row>
    <row r="80" spans="1:11" ht="26.1" customHeight="1" x14ac:dyDescent="0.2">
      <c r="A80" s="3">
        <v>78</v>
      </c>
      <c r="B80" s="20" t="s">
        <v>122</v>
      </c>
      <c r="C80" s="20" t="s">
        <v>123</v>
      </c>
      <c r="D80" s="110"/>
      <c r="E80" s="103"/>
      <c r="F80" s="58"/>
      <c r="G80" s="61"/>
      <c r="H80" s="6">
        <v>81387.02</v>
      </c>
      <c r="I80" s="4">
        <v>11491</v>
      </c>
      <c r="J80" s="89">
        <v>45261</v>
      </c>
      <c r="K80"/>
    </row>
    <row r="81" spans="1:11" ht="26.1" customHeight="1" x14ac:dyDescent="0.2">
      <c r="A81" s="3">
        <v>79</v>
      </c>
      <c r="B81" s="20" t="s">
        <v>151</v>
      </c>
      <c r="C81" s="20" t="s">
        <v>152</v>
      </c>
      <c r="D81" s="110"/>
      <c r="E81" s="103"/>
      <c r="F81" s="139"/>
      <c r="G81" s="62"/>
      <c r="H81" s="6">
        <v>37805.629999999997</v>
      </c>
      <c r="I81" s="4">
        <v>4965</v>
      </c>
      <c r="J81" s="89">
        <v>45639</v>
      </c>
      <c r="K81"/>
    </row>
    <row r="82" spans="1:11" ht="26.1" customHeight="1" x14ac:dyDescent="0.2">
      <c r="A82" s="40">
        <v>80</v>
      </c>
      <c r="B82" s="20" t="s">
        <v>153</v>
      </c>
      <c r="C82" s="20" t="s">
        <v>154</v>
      </c>
      <c r="D82" s="110"/>
      <c r="E82" s="103"/>
      <c r="F82" s="139"/>
      <c r="G82" s="62"/>
      <c r="H82" s="6">
        <v>36842.239999999998</v>
      </c>
      <c r="I82" s="4">
        <v>6030</v>
      </c>
      <c r="J82" s="89">
        <v>45485</v>
      </c>
      <c r="K82"/>
    </row>
    <row r="83" spans="1:11" ht="26.1" customHeight="1" x14ac:dyDescent="0.2">
      <c r="A83" s="3">
        <v>81</v>
      </c>
      <c r="B83" s="20" t="s">
        <v>159</v>
      </c>
      <c r="C83" s="20" t="s">
        <v>160</v>
      </c>
      <c r="D83" s="110"/>
      <c r="E83" s="103"/>
      <c r="F83" s="58"/>
      <c r="G83" s="61"/>
      <c r="H83" s="6">
        <v>34188.53</v>
      </c>
      <c r="I83" s="4">
        <v>5219</v>
      </c>
      <c r="J83" s="89">
        <v>45345</v>
      </c>
      <c r="K83"/>
    </row>
    <row r="84" spans="1:11" ht="26.1" customHeight="1" x14ac:dyDescent="0.2">
      <c r="A84" s="40">
        <v>82</v>
      </c>
      <c r="B84" s="20" t="s">
        <v>161</v>
      </c>
      <c r="C84" s="20" t="s">
        <v>162</v>
      </c>
      <c r="D84" s="110"/>
      <c r="E84" s="103"/>
      <c r="F84" s="58"/>
      <c r="G84" s="61"/>
      <c r="H84" s="6">
        <v>32072.66</v>
      </c>
      <c r="I84" s="4">
        <v>6250</v>
      </c>
      <c r="J84" s="89">
        <v>45506</v>
      </c>
      <c r="K84"/>
    </row>
    <row r="85" spans="1:11" ht="25.5" customHeight="1" x14ac:dyDescent="0.2">
      <c r="A85" s="3">
        <v>83</v>
      </c>
      <c r="B85" s="20" t="s">
        <v>192</v>
      </c>
      <c r="C85" s="20" t="s">
        <v>193</v>
      </c>
      <c r="D85" s="110"/>
      <c r="E85" s="103"/>
      <c r="F85" s="58"/>
      <c r="G85" s="61"/>
      <c r="H85" s="6">
        <v>16516.29</v>
      </c>
      <c r="I85" s="4">
        <v>2473</v>
      </c>
      <c r="J85" s="89">
        <v>45576</v>
      </c>
      <c r="K85"/>
    </row>
    <row r="86" spans="1:11" ht="26.1" customHeight="1" x14ac:dyDescent="0.2">
      <c r="A86" s="40">
        <v>84</v>
      </c>
      <c r="B86" s="20" t="s">
        <v>206</v>
      </c>
      <c r="C86" s="20" t="s">
        <v>207</v>
      </c>
      <c r="D86" s="110"/>
      <c r="E86" s="103"/>
      <c r="F86" s="58"/>
      <c r="G86" s="61"/>
      <c r="H86" s="6">
        <v>5595.97</v>
      </c>
      <c r="I86" s="4">
        <v>894</v>
      </c>
      <c r="J86" s="89">
        <v>45268</v>
      </c>
      <c r="K86"/>
    </row>
    <row r="87" spans="1:11" ht="26.1" customHeight="1" x14ac:dyDescent="0.2">
      <c r="A87" s="3">
        <v>85</v>
      </c>
      <c r="B87" s="20" t="s">
        <v>226</v>
      </c>
      <c r="C87" s="20" t="s">
        <v>227</v>
      </c>
      <c r="D87" s="110"/>
      <c r="E87" s="103"/>
      <c r="F87" s="58"/>
      <c r="G87" s="61"/>
      <c r="H87" s="6">
        <v>323.72000000000003</v>
      </c>
      <c r="I87" s="4">
        <v>51</v>
      </c>
      <c r="J87" s="89">
        <v>45079</v>
      </c>
      <c r="K87"/>
    </row>
    <row r="88" spans="1:11" ht="26.1" customHeight="1" x14ac:dyDescent="0.2">
      <c r="A88" s="40">
        <v>86</v>
      </c>
      <c r="B88" s="20" t="s">
        <v>233</v>
      </c>
      <c r="C88" s="20" t="s">
        <v>234</v>
      </c>
      <c r="D88" s="110"/>
      <c r="E88" s="103"/>
      <c r="F88" s="58"/>
      <c r="G88" s="61"/>
      <c r="H88" s="6">
        <v>250</v>
      </c>
      <c r="I88" s="4">
        <v>40</v>
      </c>
      <c r="J88" s="89">
        <v>45009</v>
      </c>
      <c r="K88"/>
    </row>
    <row r="89" spans="1:11" ht="26.1" customHeight="1" x14ac:dyDescent="0.2">
      <c r="A89" s="40">
        <v>87</v>
      </c>
      <c r="B89" s="20" t="s">
        <v>239</v>
      </c>
      <c r="C89" s="20" t="s">
        <v>240</v>
      </c>
      <c r="D89" s="110"/>
      <c r="E89" s="103"/>
      <c r="F89" s="57"/>
      <c r="G89" s="140"/>
      <c r="H89" s="6">
        <v>120</v>
      </c>
      <c r="I89" s="4">
        <v>48</v>
      </c>
      <c r="J89" s="89">
        <v>44869</v>
      </c>
      <c r="K89"/>
    </row>
    <row r="90" spans="1:11" ht="26.1" customHeight="1" x14ac:dyDescent="0.2">
      <c r="A90" s="116" t="s">
        <v>34</v>
      </c>
      <c r="B90" s="117"/>
      <c r="C90" s="118"/>
      <c r="D90" s="119">
        <f>SUBTOTAL(109,ACMEFilm[Warner Bros.
Pajamos])</f>
        <v>2531333.3699999996</v>
      </c>
      <c r="E90" s="120">
        <f>SUBTOTAL(109,ACMEFilm[Warner Bros.
Žiūrovai])</f>
        <v>357568</v>
      </c>
      <c r="F90" s="121">
        <f>SUBTOTAL(109,ACMEFilm[Independent
Pajamos])</f>
        <v>2257797.8399999994</v>
      </c>
      <c r="G90" s="120">
        <f>SUBTOTAL(109,ACMEFilm[Independent 
Žiūrovai])</f>
        <v>376755</v>
      </c>
      <c r="H90" s="122">
        <f>SUBTOTAL(109,ACMEFilm[SONY 
Pajamos])</f>
        <v>2632035.0700000008</v>
      </c>
      <c r="I90" s="123">
        <f>SUBTOTAL(109,ACMEFilm[SONY
Žiūrovai])</f>
        <v>392035</v>
      </c>
      <c r="J90" s="124"/>
      <c r="K90"/>
    </row>
    <row r="91" spans="1:11" ht="26.1" customHeight="1" thickBot="1" x14ac:dyDescent="0.25">
      <c r="A91" s="67"/>
      <c r="B91" s="68"/>
      <c r="C91" s="68"/>
      <c r="D91" s="69"/>
      <c r="E91" s="69"/>
      <c r="F91" s="69"/>
      <c r="G91" s="70"/>
      <c r="H91" s="69"/>
      <c r="I91" s="70"/>
      <c r="J91" s="90"/>
      <c r="K91"/>
    </row>
    <row r="92" spans="1:11" ht="26.1" customHeight="1" thickBot="1" x14ac:dyDescent="0.25">
      <c r="B92" s="168" t="s">
        <v>68</v>
      </c>
      <c r="C92" s="125"/>
      <c r="D92" s="126" t="s">
        <v>47</v>
      </c>
      <c r="E92" s="127" t="s">
        <v>48</v>
      </c>
      <c r="G92" s="72"/>
      <c r="H92" s="73"/>
      <c r="I92" s="74"/>
      <c r="K92"/>
    </row>
    <row r="93" spans="1:11" ht="26.1" customHeight="1" thickBot="1" x14ac:dyDescent="0.25">
      <c r="A93" s="79"/>
      <c r="B93" s="169"/>
      <c r="C93" s="128"/>
      <c r="D93" s="129">
        <f>ACMEFilm[[#Totals],[Warner Bros.
Pajamos]]+ACMEFilm[[#Totals],[Independent
Pajamos]]+ACMEFilm[[#Totals],[SONY 
Pajamos]]</f>
        <v>7421166.2799999993</v>
      </c>
      <c r="E93" s="130">
        <f>ACMEFilm[[#Totals],[Warner Bros.
Žiūrovai]]+ACMEFilm[[#Totals],[Independent 
Žiūrovai]]+ACMEFilm[[#Totals],[SONY
Žiūrovai]]</f>
        <v>1126358</v>
      </c>
      <c r="F93" s="75"/>
      <c r="G93" s="76"/>
      <c r="H93" s="77"/>
      <c r="I93" s="74"/>
      <c r="K93"/>
    </row>
    <row r="94" spans="1:11" ht="26.1" customHeight="1" x14ac:dyDescent="0.2">
      <c r="K94"/>
    </row>
    <row r="95" spans="1:11" ht="26.1" hidden="1" customHeight="1" x14ac:dyDescent="0.2">
      <c r="K95"/>
    </row>
    <row r="96" spans="1:11" ht="26.1" hidden="1" customHeight="1" x14ac:dyDescent="0.2">
      <c r="K96"/>
    </row>
    <row r="97" spans="11:12" ht="26.1" hidden="1" customHeight="1" x14ac:dyDescent="0.2">
      <c r="K97"/>
    </row>
    <row r="98" spans="11:12" ht="26.1" hidden="1" customHeight="1" x14ac:dyDescent="0.2">
      <c r="K98"/>
    </row>
    <row r="99" spans="11:12" ht="26.1" hidden="1" customHeight="1" x14ac:dyDescent="0.2">
      <c r="K99"/>
    </row>
    <row r="100" spans="11:12" ht="26.1" hidden="1" customHeight="1" x14ac:dyDescent="0.2">
      <c r="K100"/>
    </row>
    <row r="101" spans="11:12" ht="26.1" hidden="1" customHeight="1" x14ac:dyDescent="0.2">
      <c r="K101"/>
    </row>
    <row r="102" spans="11:12" ht="26.1" hidden="1" customHeight="1" x14ac:dyDescent="0.2">
      <c r="K102"/>
    </row>
    <row r="103" spans="11:12" ht="26.1" hidden="1" customHeight="1" x14ac:dyDescent="0.2">
      <c r="K103"/>
    </row>
    <row r="104" spans="11:12" ht="26.1" hidden="1" customHeight="1" x14ac:dyDescent="0.2">
      <c r="K104"/>
    </row>
    <row r="105" spans="11:12" ht="26.1" hidden="1" customHeight="1" x14ac:dyDescent="0.2">
      <c r="K105"/>
    </row>
    <row r="106" spans="11:12" ht="26.1" hidden="1" customHeight="1" x14ac:dyDescent="0.2">
      <c r="K106"/>
    </row>
    <row r="107" spans="11:12" ht="26.1" hidden="1" customHeight="1" x14ac:dyDescent="0.2">
      <c r="K107"/>
    </row>
    <row r="108" spans="11:12" ht="26.1" hidden="1" customHeight="1" x14ac:dyDescent="0.2"/>
    <row r="109" spans="11:12" ht="26.1" hidden="1" customHeight="1" x14ac:dyDescent="0.2"/>
    <row r="110" spans="11:12" ht="26.1" hidden="1" customHeight="1" x14ac:dyDescent="0.2">
      <c r="K110" s="25"/>
      <c r="L110" s="24"/>
    </row>
    <row r="111" spans="11:12" ht="26.1" hidden="1" customHeight="1" x14ac:dyDescent="0.2"/>
  </sheetData>
  <mergeCells count="2">
    <mergeCell ref="A1:J1"/>
    <mergeCell ref="B92:B9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D560-5FA8-4E28-A29B-092FF604C76C}">
  <dimension ref="A1:M111"/>
  <sheetViews>
    <sheetView zoomScale="70" zoomScaleNormal="70" workbookViewId="0">
      <selection activeCell="A37" sqref="A37"/>
    </sheetView>
  </sheetViews>
  <sheetFormatPr defaultColWidth="0" defaultRowHeight="0" customHeight="1" zeroHeight="1" x14ac:dyDescent="0.2"/>
  <cols>
    <col min="1" max="1" width="15.7109375" customWidth="1"/>
    <col min="2" max="4" width="35.5703125" style="21" customWidth="1"/>
    <col min="5" max="5" width="35.5703125" style="23" customWidth="1"/>
    <col min="6" max="6" width="35.5703125" style="22" customWidth="1"/>
    <col min="7" max="7" width="35.5703125" style="23" customWidth="1"/>
    <col min="8" max="8" width="35.5703125" style="92" customWidth="1"/>
    <col min="9" max="9" width="35.5703125" style="8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10" ht="26.1" customHeight="1" x14ac:dyDescent="0.2">
      <c r="A1" s="167" t="s">
        <v>16</v>
      </c>
      <c r="B1" s="167"/>
      <c r="C1" s="167"/>
      <c r="D1" s="167"/>
      <c r="E1" s="167"/>
      <c r="F1" s="167"/>
      <c r="G1" s="167"/>
      <c r="H1" s="167"/>
      <c r="I1" s="39"/>
      <c r="J1" s="39"/>
    </row>
    <row r="2" spans="1:10" ht="26.1" customHeight="1" x14ac:dyDescent="0.2">
      <c r="A2" s="34" t="s">
        <v>5</v>
      </c>
      <c r="B2" s="34" t="s">
        <v>41</v>
      </c>
      <c r="C2" s="34" t="s">
        <v>75</v>
      </c>
      <c r="D2" s="35" t="s">
        <v>51</v>
      </c>
      <c r="E2" s="36" t="s">
        <v>52</v>
      </c>
      <c r="F2" s="35" t="s">
        <v>64</v>
      </c>
      <c r="G2" s="36" t="s">
        <v>65</v>
      </c>
      <c r="H2" s="85" t="s">
        <v>42</v>
      </c>
      <c r="I2"/>
    </row>
    <row r="3" spans="1:10" ht="26.1" customHeight="1" x14ac:dyDescent="0.2">
      <c r="A3" s="3">
        <v>1</v>
      </c>
      <c r="B3" s="47" t="s">
        <v>242</v>
      </c>
      <c r="C3" s="47" t="s">
        <v>243</v>
      </c>
      <c r="D3" s="6">
        <v>1201417.1700000002</v>
      </c>
      <c r="E3" s="52">
        <v>208807</v>
      </c>
      <c r="F3" s="53"/>
      <c r="G3" s="54"/>
      <c r="H3" s="86">
        <v>45478</v>
      </c>
      <c r="I3"/>
    </row>
    <row r="4" spans="1:10" ht="26.1" customHeight="1" x14ac:dyDescent="0.2">
      <c r="A4" s="3">
        <v>2</v>
      </c>
      <c r="B4" s="47" t="s">
        <v>244</v>
      </c>
      <c r="C4" s="47" t="s">
        <v>244</v>
      </c>
      <c r="D4" s="6">
        <v>872564.59</v>
      </c>
      <c r="E4" s="52">
        <v>151283</v>
      </c>
      <c r="F4" s="55"/>
      <c r="G4" s="56"/>
      <c r="H4" s="87">
        <v>45359</v>
      </c>
      <c r="I4"/>
    </row>
    <row r="5" spans="1:10" ht="26.1" customHeight="1" x14ac:dyDescent="0.2">
      <c r="A5" s="3">
        <v>3</v>
      </c>
      <c r="B5" s="47" t="s">
        <v>245</v>
      </c>
      <c r="C5" s="47" t="s">
        <v>246</v>
      </c>
      <c r="D5" s="6">
        <v>306117.81999999995</v>
      </c>
      <c r="E5" s="52">
        <v>58309</v>
      </c>
      <c r="F5" s="55"/>
      <c r="G5" s="56"/>
      <c r="H5" s="87">
        <v>45282</v>
      </c>
      <c r="I5"/>
    </row>
    <row r="6" spans="1:10" ht="26.1" customHeight="1" x14ac:dyDescent="0.2">
      <c r="A6" s="3">
        <v>4</v>
      </c>
      <c r="B6" s="47" t="s">
        <v>247</v>
      </c>
      <c r="C6" s="47" t="s">
        <v>248</v>
      </c>
      <c r="D6" s="6">
        <v>276885.58999999997</v>
      </c>
      <c r="E6" s="52">
        <v>49991</v>
      </c>
      <c r="F6" s="55"/>
      <c r="G6" s="56"/>
      <c r="H6" s="86">
        <v>45590</v>
      </c>
      <c r="I6"/>
    </row>
    <row r="7" spans="1:10" ht="26.1" customHeight="1" x14ac:dyDescent="0.2">
      <c r="A7" s="3">
        <v>5</v>
      </c>
      <c r="B7" s="47" t="s">
        <v>249</v>
      </c>
      <c r="C7" s="47" t="s">
        <v>250</v>
      </c>
      <c r="D7" s="6">
        <v>159871.26999999999</v>
      </c>
      <c r="E7" s="52">
        <v>24563</v>
      </c>
      <c r="F7" s="55"/>
      <c r="G7" s="56"/>
      <c r="H7" s="86">
        <v>45632</v>
      </c>
      <c r="I7"/>
    </row>
    <row r="8" spans="1:10" ht="26.1" customHeight="1" x14ac:dyDescent="0.2">
      <c r="A8" s="3">
        <v>6</v>
      </c>
      <c r="B8" s="47" t="s">
        <v>251</v>
      </c>
      <c r="C8" s="47" t="s">
        <v>252</v>
      </c>
      <c r="D8" s="6">
        <v>103805.87</v>
      </c>
      <c r="E8" s="52">
        <v>14906</v>
      </c>
      <c r="F8" s="55"/>
      <c r="G8" s="56"/>
      <c r="H8" s="86">
        <v>45408</v>
      </c>
      <c r="I8"/>
    </row>
    <row r="9" spans="1:10" ht="26.1" customHeight="1" x14ac:dyDescent="0.2">
      <c r="A9" s="3">
        <v>7</v>
      </c>
      <c r="B9" s="47" t="s">
        <v>253</v>
      </c>
      <c r="C9" s="47" t="s">
        <v>253</v>
      </c>
      <c r="D9" s="6">
        <v>78277.69</v>
      </c>
      <c r="E9" s="52">
        <v>11525</v>
      </c>
      <c r="F9" s="55"/>
      <c r="G9" s="56"/>
      <c r="H9" s="87">
        <v>45394</v>
      </c>
      <c r="I9"/>
    </row>
    <row r="10" spans="1:10" ht="26.1" customHeight="1" x14ac:dyDescent="0.2">
      <c r="A10" s="3">
        <v>8</v>
      </c>
      <c r="B10" s="47" t="s">
        <v>254</v>
      </c>
      <c r="C10" s="47" t="s">
        <v>255</v>
      </c>
      <c r="D10" s="6">
        <v>64506.47</v>
      </c>
      <c r="E10" s="52">
        <v>8839</v>
      </c>
      <c r="F10" s="55"/>
      <c r="G10" s="56"/>
      <c r="H10" s="87">
        <v>45548</v>
      </c>
      <c r="I10"/>
    </row>
    <row r="11" spans="1:10" ht="26.1" customHeight="1" x14ac:dyDescent="0.2">
      <c r="A11" s="3">
        <v>9</v>
      </c>
      <c r="B11" s="47" t="s">
        <v>256</v>
      </c>
      <c r="C11" s="47" t="s">
        <v>257</v>
      </c>
      <c r="D11" s="6">
        <v>45354.5</v>
      </c>
      <c r="E11" s="52">
        <v>6506</v>
      </c>
      <c r="F11" s="55"/>
      <c r="G11" s="56"/>
      <c r="H11" s="86">
        <v>45324</v>
      </c>
      <c r="I11"/>
    </row>
    <row r="12" spans="1:10" ht="26.1" customHeight="1" x14ac:dyDescent="0.2">
      <c r="A12" s="3">
        <v>10</v>
      </c>
      <c r="B12" s="47" t="s">
        <v>258</v>
      </c>
      <c r="C12" s="47" t="s">
        <v>259</v>
      </c>
      <c r="D12" s="6">
        <v>33544.29</v>
      </c>
      <c r="E12" s="52">
        <v>5215</v>
      </c>
      <c r="F12" s="55"/>
      <c r="G12" s="56"/>
      <c r="H12" s="87">
        <v>45401</v>
      </c>
      <c r="I12"/>
    </row>
    <row r="13" spans="1:10" ht="26.1" customHeight="1" x14ac:dyDescent="0.2">
      <c r="A13" s="3">
        <v>11</v>
      </c>
      <c r="B13" s="47" t="s">
        <v>260</v>
      </c>
      <c r="C13" s="47" t="s">
        <v>261</v>
      </c>
      <c r="D13" s="6">
        <v>27547.940000000002</v>
      </c>
      <c r="E13" s="52">
        <v>4063</v>
      </c>
      <c r="F13" s="55"/>
      <c r="G13" s="56"/>
      <c r="H13" s="86">
        <v>45296</v>
      </c>
      <c r="I13"/>
    </row>
    <row r="14" spans="1:10" ht="26.1" customHeight="1" x14ac:dyDescent="0.2">
      <c r="A14" s="3">
        <v>12</v>
      </c>
      <c r="B14" s="131" t="s">
        <v>262</v>
      </c>
      <c r="C14" s="131" t="s">
        <v>263</v>
      </c>
      <c r="D14" s="6">
        <v>22270.720000000001</v>
      </c>
      <c r="E14" s="52">
        <v>3457</v>
      </c>
      <c r="F14" s="55"/>
      <c r="G14" s="56"/>
      <c r="H14" s="86">
        <v>45485</v>
      </c>
      <c r="I14"/>
    </row>
    <row r="15" spans="1:10" ht="26.1" customHeight="1" x14ac:dyDescent="0.2">
      <c r="A15" s="3">
        <v>13</v>
      </c>
      <c r="B15" s="47" t="s">
        <v>264</v>
      </c>
      <c r="C15" s="47" t="s">
        <v>264</v>
      </c>
      <c r="D15" s="6">
        <v>9381.16</v>
      </c>
      <c r="E15" s="52">
        <v>1448</v>
      </c>
      <c r="F15" s="55"/>
      <c r="G15" s="56"/>
      <c r="H15" s="86">
        <v>45506</v>
      </c>
      <c r="I15"/>
    </row>
    <row r="16" spans="1:10" ht="26.1" customHeight="1" x14ac:dyDescent="0.2">
      <c r="A16" s="3">
        <v>14</v>
      </c>
      <c r="B16" s="47" t="s">
        <v>265</v>
      </c>
      <c r="C16" s="47" t="s">
        <v>266</v>
      </c>
      <c r="D16" s="6">
        <v>8986.0400000000009</v>
      </c>
      <c r="E16" s="52">
        <v>2053</v>
      </c>
      <c r="F16" s="55"/>
      <c r="G16" s="56"/>
      <c r="H16" s="87">
        <v>44916</v>
      </c>
      <c r="I16"/>
    </row>
    <row r="17" spans="1:9" ht="26.1" customHeight="1" x14ac:dyDescent="0.2">
      <c r="A17" s="3">
        <v>15</v>
      </c>
      <c r="B17" s="47" t="s">
        <v>267</v>
      </c>
      <c r="C17" s="47" t="s">
        <v>268</v>
      </c>
      <c r="D17" s="6">
        <v>4877.93</v>
      </c>
      <c r="E17" s="52">
        <v>943</v>
      </c>
      <c r="F17" s="55"/>
      <c r="G17" s="56"/>
      <c r="H17" s="86">
        <v>45023</v>
      </c>
      <c r="I17"/>
    </row>
    <row r="18" spans="1:9" ht="26.1" customHeight="1" x14ac:dyDescent="0.2">
      <c r="A18" s="3">
        <v>16</v>
      </c>
      <c r="B18" s="47" t="s">
        <v>269</v>
      </c>
      <c r="C18" s="47" t="s">
        <v>270</v>
      </c>
      <c r="D18" s="6">
        <v>3349.99</v>
      </c>
      <c r="E18" s="52">
        <v>710</v>
      </c>
      <c r="F18" s="55"/>
      <c r="G18" s="56"/>
      <c r="H18" s="86">
        <v>45401</v>
      </c>
      <c r="I18"/>
    </row>
    <row r="19" spans="1:9" ht="26.1" customHeight="1" x14ac:dyDescent="0.2">
      <c r="A19" s="3">
        <v>17</v>
      </c>
      <c r="B19" s="47" t="s">
        <v>271</v>
      </c>
      <c r="C19" s="47" t="s">
        <v>272</v>
      </c>
      <c r="D19" s="6">
        <v>2496.42</v>
      </c>
      <c r="E19" s="52">
        <v>334</v>
      </c>
      <c r="F19" s="55"/>
      <c r="G19" s="56"/>
      <c r="H19" s="86">
        <v>45128</v>
      </c>
      <c r="I19"/>
    </row>
    <row r="20" spans="1:9" ht="26.1" customHeight="1" x14ac:dyDescent="0.2">
      <c r="A20" s="3">
        <v>18</v>
      </c>
      <c r="B20" s="47" t="s">
        <v>273</v>
      </c>
      <c r="C20" s="47" t="s">
        <v>274</v>
      </c>
      <c r="D20" s="6">
        <v>2457</v>
      </c>
      <c r="E20" s="52">
        <v>484</v>
      </c>
      <c r="F20" s="58"/>
      <c r="G20" s="61"/>
      <c r="H20" s="86">
        <v>45226</v>
      </c>
      <c r="I20"/>
    </row>
    <row r="21" spans="1:9" s="84" customFormat="1" ht="26.1" customHeight="1" x14ac:dyDescent="0.2">
      <c r="A21" s="3">
        <v>19</v>
      </c>
      <c r="B21" s="47" t="s">
        <v>275</v>
      </c>
      <c r="C21" s="47" t="s">
        <v>276</v>
      </c>
      <c r="D21" s="6">
        <v>1237.5</v>
      </c>
      <c r="E21" s="52">
        <v>322</v>
      </c>
      <c r="F21" s="55"/>
      <c r="G21" s="56"/>
      <c r="H21" s="86">
        <v>45205</v>
      </c>
    </row>
    <row r="22" spans="1:9" ht="26.1" customHeight="1" x14ac:dyDescent="0.2">
      <c r="A22" s="31">
        <v>20</v>
      </c>
      <c r="B22" s="47" t="s">
        <v>277</v>
      </c>
      <c r="C22" s="47" t="s">
        <v>278</v>
      </c>
      <c r="D22" s="6">
        <v>1201.5</v>
      </c>
      <c r="E22" s="52">
        <v>511</v>
      </c>
      <c r="F22" s="55"/>
      <c r="G22" s="56"/>
      <c r="H22" s="111">
        <v>44638</v>
      </c>
      <c r="I22"/>
    </row>
    <row r="23" spans="1:9" ht="26.1" customHeight="1" x14ac:dyDescent="0.2">
      <c r="A23" s="3">
        <v>21</v>
      </c>
      <c r="B23" s="47" t="s">
        <v>279</v>
      </c>
      <c r="C23" s="47" t="s">
        <v>280</v>
      </c>
      <c r="D23" s="6">
        <v>1115</v>
      </c>
      <c r="E23" s="52">
        <v>461</v>
      </c>
      <c r="F23" s="55"/>
      <c r="G23" s="56"/>
      <c r="H23" s="86">
        <v>44743</v>
      </c>
      <c r="I23"/>
    </row>
    <row r="24" spans="1:9" ht="26.1" customHeight="1" x14ac:dyDescent="0.2">
      <c r="A24" s="3">
        <v>22</v>
      </c>
      <c r="B24" s="47" t="s">
        <v>281</v>
      </c>
      <c r="C24" s="47" t="s">
        <v>282</v>
      </c>
      <c r="D24" s="6">
        <v>1082</v>
      </c>
      <c r="E24" s="52">
        <v>460</v>
      </c>
      <c r="F24" s="55"/>
      <c r="G24" s="56"/>
      <c r="H24" s="86">
        <v>45212</v>
      </c>
      <c r="I24"/>
    </row>
    <row r="25" spans="1:9" ht="26.1" customHeight="1" x14ac:dyDescent="0.2">
      <c r="A25" s="3">
        <v>23</v>
      </c>
      <c r="B25" s="47" t="s">
        <v>283</v>
      </c>
      <c r="C25" s="47" t="s">
        <v>284</v>
      </c>
      <c r="D25" s="106">
        <v>400</v>
      </c>
      <c r="E25" s="107">
        <v>80</v>
      </c>
      <c r="F25" s="81"/>
      <c r="G25" s="82"/>
      <c r="H25" s="86">
        <v>42188</v>
      </c>
      <c r="I25"/>
    </row>
    <row r="26" spans="1:9" ht="26.1" customHeight="1" x14ac:dyDescent="0.2">
      <c r="A26" s="3">
        <v>24</v>
      </c>
      <c r="B26" s="20" t="s">
        <v>285</v>
      </c>
      <c r="C26" s="20" t="s">
        <v>286</v>
      </c>
      <c r="D26" s="132"/>
      <c r="E26" s="133"/>
      <c r="F26" s="50">
        <v>683624.38</v>
      </c>
      <c r="G26" s="32">
        <v>83094</v>
      </c>
      <c r="H26" s="88">
        <v>45611</v>
      </c>
      <c r="I26"/>
    </row>
    <row r="27" spans="1:9" ht="26.1" customHeight="1" x14ac:dyDescent="0.2">
      <c r="A27" s="3">
        <v>25</v>
      </c>
      <c r="B27" s="20" t="s">
        <v>287</v>
      </c>
      <c r="C27" s="20" t="s">
        <v>288</v>
      </c>
      <c r="D27" s="58"/>
      <c r="E27" s="59"/>
      <c r="F27" s="51">
        <v>229845.79</v>
      </c>
      <c r="G27" s="4">
        <v>37945</v>
      </c>
      <c r="H27" s="88">
        <v>45653</v>
      </c>
      <c r="I27"/>
    </row>
    <row r="28" spans="1:9" ht="26.1" customHeight="1" x14ac:dyDescent="0.2">
      <c r="A28" s="3">
        <v>26</v>
      </c>
      <c r="B28" s="20" t="s">
        <v>289</v>
      </c>
      <c r="C28" s="20" t="s">
        <v>290</v>
      </c>
      <c r="D28" s="58"/>
      <c r="E28" s="59"/>
      <c r="F28" s="51">
        <v>174726.98</v>
      </c>
      <c r="G28" s="4">
        <v>24708</v>
      </c>
      <c r="H28" s="88">
        <v>45471</v>
      </c>
      <c r="I28"/>
    </row>
    <row r="29" spans="1:9" ht="26.1" customHeight="1" x14ac:dyDescent="0.2">
      <c r="A29" s="3">
        <v>27</v>
      </c>
      <c r="B29" s="20" t="s">
        <v>291</v>
      </c>
      <c r="C29" s="20" t="s">
        <v>292</v>
      </c>
      <c r="D29" s="58"/>
      <c r="E29" s="59"/>
      <c r="F29" s="51">
        <v>170316.24</v>
      </c>
      <c r="G29" s="4">
        <v>23254</v>
      </c>
      <c r="H29" s="89">
        <v>45583</v>
      </c>
      <c r="I29"/>
    </row>
    <row r="30" spans="1:9" ht="26.1" customHeight="1" x14ac:dyDescent="0.2">
      <c r="A30" s="3">
        <v>28</v>
      </c>
      <c r="B30" s="20" t="s">
        <v>293</v>
      </c>
      <c r="C30" s="20" t="s">
        <v>294</v>
      </c>
      <c r="D30" s="58"/>
      <c r="E30" s="59"/>
      <c r="F30" s="51">
        <v>101502.54</v>
      </c>
      <c r="G30" s="4">
        <v>19881</v>
      </c>
      <c r="H30" s="88">
        <v>45429</v>
      </c>
      <c r="I30"/>
    </row>
    <row r="31" spans="1:9" ht="26.1" customHeight="1" x14ac:dyDescent="0.2">
      <c r="A31" s="3">
        <v>29</v>
      </c>
      <c r="B31" s="20" t="s">
        <v>295</v>
      </c>
      <c r="C31" s="20" t="s">
        <v>295</v>
      </c>
      <c r="D31" s="58"/>
      <c r="E31" s="59"/>
      <c r="F31" s="51">
        <v>64625.56</v>
      </c>
      <c r="G31" s="4">
        <v>9568</v>
      </c>
      <c r="H31" s="88">
        <v>45338</v>
      </c>
      <c r="I31"/>
    </row>
    <row r="32" spans="1:9" ht="26.1" customHeight="1" x14ac:dyDescent="0.2">
      <c r="A32" s="3">
        <v>30</v>
      </c>
      <c r="B32" s="20" t="s">
        <v>296</v>
      </c>
      <c r="C32" s="20" t="s">
        <v>297</v>
      </c>
      <c r="D32" s="58"/>
      <c r="E32" s="59"/>
      <c r="F32" s="51">
        <v>46210.700000000004</v>
      </c>
      <c r="G32" s="4">
        <v>8159</v>
      </c>
      <c r="H32" s="88">
        <v>45555</v>
      </c>
      <c r="I32"/>
    </row>
    <row r="33" spans="1:9" ht="26.1" customHeight="1" x14ac:dyDescent="0.2">
      <c r="A33" s="3">
        <v>31</v>
      </c>
      <c r="B33" s="20" t="s">
        <v>298</v>
      </c>
      <c r="C33" s="20" t="s">
        <v>299</v>
      </c>
      <c r="D33" s="58"/>
      <c r="E33" s="59"/>
      <c r="F33" s="51">
        <v>2195.3900000000003</v>
      </c>
      <c r="G33" s="4">
        <v>561</v>
      </c>
      <c r="H33" s="88">
        <v>45226</v>
      </c>
      <c r="I33"/>
    </row>
    <row r="34" spans="1:9" ht="26.1" customHeight="1" x14ac:dyDescent="0.2">
      <c r="A34" s="3">
        <v>32</v>
      </c>
      <c r="B34" s="20" t="s">
        <v>300</v>
      </c>
      <c r="C34" s="20" t="s">
        <v>301</v>
      </c>
      <c r="D34" s="58"/>
      <c r="E34" s="59"/>
      <c r="F34" s="51">
        <v>1072.32</v>
      </c>
      <c r="G34" s="4">
        <v>133</v>
      </c>
      <c r="H34" s="88">
        <v>45219</v>
      </c>
      <c r="I34"/>
    </row>
    <row r="35" spans="1:9" ht="26.1" customHeight="1" x14ac:dyDescent="0.2">
      <c r="A35" s="3">
        <v>33</v>
      </c>
      <c r="B35" s="20" t="s">
        <v>302</v>
      </c>
      <c r="C35" s="20" t="s">
        <v>303</v>
      </c>
      <c r="D35" s="58"/>
      <c r="E35" s="59"/>
      <c r="F35" s="51">
        <v>407.5</v>
      </c>
      <c r="G35" s="4">
        <v>172</v>
      </c>
      <c r="H35" s="88">
        <v>44652</v>
      </c>
      <c r="I35"/>
    </row>
    <row r="36" spans="1:9" ht="26.1" customHeight="1" x14ac:dyDescent="0.2">
      <c r="A36" s="3">
        <v>34</v>
      </c>
      <c r="B36" s="20" t="s">
        <v>304</v>
      </c>
      <c r="C36" s="20" t="s">
        <v>305</v>
      </c>
      <c r="D36" s="57"/>
      <c r="E36" s="60"/>
      <c r="F36" s="51">
        <v>45</v>
      </c>
      <c r="G36" s="4">
        <v>18</v>
      </c>
      <c r="H36" s="88">
        <v>44568</v>
      </c>
      <c r="I36"/>
    </row>
    <row r="37" spans="1:9" ht="26.1" customHeight="1" x14ac:dyDescent="0.2">
      <c r="A37" s="134" t="s">
        <v>34</v>
      </c>
      <c r="B37" s="135"/>
      <c r="C37" s="135"/>
      <c r="D37" s="121">
        <f>SUBTOTAL(109,DuKine[Universal Pictures
Pajamos])</f>
        <v>3228748.4600000009</v>
      </c>
      <c r="E37" s="120">
        <f>SUBTOTAL(109,DuKine[Universal Pictures
Žiūrovai])</f>
        <v>555270</v>
      </c>
      <c r="F37" s="136">
        <f>SUBTOTAL(109,DuKine[Paramount Pictures 
Pajamos])</f>
        <v>1474572.4000000001</v>
      </c>
      <c r="G37" s="137">
        <f>SUBTOTAL(109,DuKine[Paramount Pictures 
Žiūrovai])</f>
        <v>207493</v>
      </c>
      <c r="H37" s="124"/>
      <c r="I37"/>
    </row>
    <row r="38" spans="1:9" ht="26.1" customHeight="1" thickBot="1" x14ac:dyDescent="0.25">
      <c r="A38" s="67"/>
      <c r="B38" s="68"/>
      <c r="C38" s="68"/>
      <c r="D38" s="69"/>
      <c r="E38" s="69"/>
      <c r="F38" s="69"/>
      <c r="G38" s="70"/>
      <c r="H38" s="90"/>
      <c r="I38"/>
    </row>
    <row r="39" spans="1:9" ht="26.1" customHeight="1" thickBot="1" x14ac:dyDescent="0.25">
      <c r="A39" s="74"/>
      <c r="B39" s="170" t="s">
        <v>67</v>
      </c>
      <c r="C39" s="125"/>
      <c r="D39" s="126" t="s">
        <v>47</v>
      </c>
      <c r="E39" s="127" t="s">
        <v>48</v>
      </c>
      <c r="F39" s="71"/>
      <c r="G39" s="72"/>
      <c r="H39" s="91"/>
      <c r="I39"/>
    </row>
    <row r="40" spans="1:9" ht="26.1" customHeight="1" thickBot="1" x14ac:dyDescent="0.25">
      <c r="A40" s="79"/>
      <c r="B40" s="171"/>
      <c r="C40" s="128"/>
      <c r="D40" s="129">
        <f>DuKine[[#Totals],[Universal Pictures
Pajamos]]+DuKine[[#Totals],[Paramount Pictures 
Pajamos]]</f>
        <v>4703320.8600000013</v>
      </c>
      <c r="E40" s="130">
        <f>DuKine[[#Totals],[Universal Pictures
Žiūrovai]]+DuKine[[#Totals],[Paramount Pictures 
Žiūrovai]]</f>
        <v>762763</v>
      </c>
      <c r="F40" s="75"/>
      <c r="G40" s="76"/>
      <c r="H40" s="91"/>
      <c r="I40"/>
    </row>
    <row r="41" spans="1:9" ht="26.1" customHeight="1" x14ac:dyDescent="0.2">
      <c r="A41" s="74"/>
      <c r="B41" s="80"/>
      <c r="C41" s="80"/>
      <c r="D41" s="80"/>
      <c r="E41" s="78"/>
      <c r="F41" s="71"/>
      <c r="G41" s="78"/>
      <c r="H41" s="91"/>
      <c r="I41"/>
    </row>
    <row r="42" spans="1:9" ht="26.1" hidden="1" customHeight="1" x14ac:dyDescent="0.2">
      <c r="I42"/>
    </row>
    <row r="43" spans="1:9" ht="26.1" hidden="1" customHeight="1" x14ac:dyDescent="0.2">
      <c r="I43"/>
    </row>
    <row r="44" spans="1:9" ht="26.1" hidden="1" customHeight="1" x14ac:dyDescent="0.2">
      <c r="I44"/>
    </row>
    <row r="45" spans="1:9" ht="26.1" hidden="1" customHeight="1" x14ac:dyDescent="0.2">
      <c r="I45"/>
    </row>
    <row r="46" spans="1:9" ht="26.1" hidden="1" customHeight="1" x14ac:dyDescent="0.2">
      <c r="I46"/>
    </row>
    <row r="47" spans="1:9" ht="26.1" hidden="1" customHeight="1" x14ac:dyDescent="0.2">
      <c r="I47"/>
    </row>
    <row r="48" spans="1:9" ht="26.1" hidden="1" customHeight="1" x14ac:dyDescent="0.2">
      <c r="I48"/>
    </row>
    <row r="49" spans="9:9" ht="26.1" hidden="1" customHeight="1" x14ac:dyDescent="0.2">
      <c r="I49"/>
    </row>
    <row r="50" spans="9:9" ht="26.1" hidden="1" customHeight="1" x14ac:dyDescent="0.2">
      <c r="I50"/>
    </row>
    <row r="51" spans="9:9" ht="26.1" hidden="1" customHeight="1" x14ac:dyDescent="0.2">
      <c r="I51"/>
    </row>
    <row r="52" spans="9:9" ht="26.1" hidden="1" customHeight="1" x14ac:dyDescent="0.2">
      <c r="I52"/>
    </row>
    <row r="53" spans="9:9" ht="26.1" hidden="1" customHeight="1" x14ac:dyDescent="0.2">
      <c r="I53"/>
    </row>
    <row r="54" spans="9:9" ht="26.1" hidden="1" customHeight="1" x14ac:dyDescent="0.2">
      <c r="I54"/>
    </row>
    <row r="55" spans="9:9" ht="26.1" hidden="1" customHeight="1" x14ac:dyDescent="0.2">
      <c r="I55"/>
    </row>
    <row r="56" spans="9:9" ht="26.1" hidden="1" customHeight="1" x14ac:dyDescent="0.2">
      <c r="I56"/>
    </row>
    <row r="57" spans="9:9" ht="26.1" hidden="1" customHeight="1" x14ac:dyDescent="0.2">
      <c r="I57"/>
    </row>
    <row r="58" spans="9:9" ht="26.1" hidden="1" customHeight="1" x14ac:dyDescent="0.2">
      <c r="I58"/>
    </row>
    <row r="59" spans="9:9" ht="26.1" hidden="1" customHeight="1" x14ac:dyDescent="0.2">
      <c r="I59"/>
    </row>
    <row r="60" spans="9:9" ht="26.1" hidden="1" customHeight="1" x14ac:dyDescent="0.2">
      <c r="I60"/>
    </row>
    <row r="61" spans="9:9" ht="26.1" hidden="1" customHeight="1" x14ac:dyDescent="0.2">
      <c r="I61"/>
    </row>
    <row r="62" spans="9:9" ht="26.1" hidden="1" customHeight="1" x14ac:dyDescent="0.2">
      <c r="I62"/>
    </row>
    <row r="63" spans="9:9" ht="26.1" hidden="1" customHeight="1" x14ac:dyDescent="0.2">
      <c r="I63"/>
    </row>
    <row r="64" spans="9:9" ht="26.1" hidden="1" customHeight="1" x14ac:dyDescent="0.2">
      <c r="I64"/>
    </row>
    <row r="65" spans="9:9" ht="26.1" hidden="1" customHeight="1" x14ac:dyDescent="0.2">
      <c r="I65"/>
    </row>
    <row r="66" spans="9:9" ht="26.1" hidden="1" customHeight="1" x14ac:dyDescent="0.2">
      <c r="I66"/>
    </row>
    <row r="67" spans="9:9" ht="26.1" hidden="1" customHeight="1" x14ac:dyDescent="0.2">
      <c r="I67"/>
    </row>
    <row r="68" spans="9:9" ht="26.1" hidden="1" customHeight="1" x14ac:dyDescent="0.2">
      <c r="I68"/>
    </row>
    <row r="69" spans="9:9" ht="26.1" hidden="1" customHeight="1" x14ac:dyDescent="0.2">
      <c r="I69"/>
    </row>
    <row r="70" spans="9:9" ht="26.1" hidden="1" customHeight="1" x14ac:dyDescent="0.2">
      <c r="I70"/>
    </row>
    <row r="71" spans="9:9" ht="26.1" hidden="1" customHeight="1" x14ac:dyDescent="0.2">
      <c r="I71"/>
    </row>
    <row r="72" spans="9:9" ht="26.1" hidden="1" customHeight="1" x14ac:dyDescent="0.2">
      <c r="I72"/>
    </row>
    <row r="73" spans="9:9" ht="26.1" hidden="1" customHeight="1" x14ac:dyDescent="0.2">
      <c r="I73"/>
    </row>
    <row r="74" spans="9:9" ht="26.1" hidden="1" customHeight="1" x14ac:dyDescent="0.2">
      <c r="I74"/>
    </row>
    <row r="75" spans="9:9" ht="26.1" hidden="1" customHeight="1" x14ac:dyDescent="0.2">
      <c r="I75"/>
    </row>
    <row r="76" spans="9:9" ht="26.1" hidden="1" customHeight="1" x14ac:dyDescent="0.2">
      <c r="I76"/>
    </row>
    <row r="77" spans="9:9" ht="26.1" hidden="1" customHeight="1" x14ac:dyDescent="0.2">
      <c r="I77"/>
    </row>
    <row r="78" spans="9:9" ht="26.1" hidden="1" customHeight="1" x14ac:dyDescent="0.2">
      <c r="I78"/>
    </row>
    <row r="79" spans="9:9" ht="26.1" hidden="1" customHeight="1" x14ac:dyDescent="0.2">
      <c r="I79"/>
    </row>
    <row r="80" spans="9:9" ht="26.1" hidden="1" customHeight="1" x14ac:dyDescent="0.2">
      <c r="I80"/>
    </row>
    <row r="81" spans="9:9" ht="26.1" hidden="1" customHeight="1" x14ac:dyDescent="0.2">
      <c r="I81"/>
    </row>
    <row r="82" spans="9:9" ht="26.1" hidden="1" customHeight="1" x14ac:dyDescent="0.2">
      <c r="I82"/>
    </row>
    <row r="83" spans="9:9" ht="26.1" hidden="1" customHeight="1" x14ac:dyDescent="0.2">
      <c r="I83"/>
    </row>
    <row r="84" spans="9:9" ht="26.1" hidden="1" customHeight="1" x14ac:dyDescent="0.2">
      <c r="I84"/>
    </row>
    <row r="85" spans="9:9" ht="26.1" hidden="1" customHeight="1" x14ac:dyDescent="0.2">
      <c r="I85"/>
    </row>
    <row r="86" spans="9:9" ht="26.1" hidden="1" customHeight="1" x14ac:dyDescent="0.2">
      <c r="I86"/>
    </row>
    <row r="87" spans="9:9" ht="26.1" hidden="1" customHeight="1" x14ac:dyDescent="0.2">
      <c r="I87"/>
    </row>
    <row r="88" spans="9:9" ht="26.1" hidden="1" customHeight="1" x14ac:dyDescent="0.2">
      <c r="I88"/>
    </row>
    <row r="89" spans="9:9" ht="26.1" hidden="1" customHeight="1" x14ac:dyDescent="0.2">
      <c r="I89"/>
    </row>
    <row r="90" spans="9:9" ht="26.1" hidden="1" customHeight="1" x14ac:dyDescent="0.2">
      <c r="I90"/>
    </row>
    <row r="91" spans="9:9" ht="26.1" hidden="1" customHeight="1" x14ac:dyDescent="0.2">
      <c r="I91"/>
    </row>
    <row r="92" spans="9:9" ht="26.1" hidden="1" customHeight="1" x14ac:dyDescent="0.2">
      <c r="I92"/>
    </row>
    <row r="93" spans="9:9" ht="26.1" hidden="1" customHeight="1" x14ac:dyDescent="0.2">
      <c r="I93"/>
    </row>
    <row r="94" spans="9:9" ht="26.1" hidden="1" customHeight="1" x14ac:dyDescent="0.2">
      <c r="I94"/>
    </row>
    <row r="95" spans="9:9" ht="26.1" hidden="1" customHeight="1" x14ac:dyDescent="0.2">
      <c r="I95"/>
    </row>
    <row r="96" spans="9:9" ht="26.1" hidden="1" customHeight="1" x14ac:dyDescent="0.2">
      <c r="I96"/>
    </row>
    <row r="97" spans="9:10" ht="26.1" hidden="1" customHeight="1" x14ac:dyDescent="0.2">
      <c r="I97"/>
    </row>
    <row r="98" spans="9:10" ht="26.1" hidden="1" customHeight="1" x14ac:dyDescent="0.2">
      <c r="I98"/>
    </row>
    <row r="99" spans="9:10" ht="26.1" hidden="1" customHeight="1" x14ac:dyDescent="0.2">
      <c r="I99"/>
    </row>
    <row r="100" spans="9:10" ht="26.1" hidden="1" customHeight="1" x14ac:dyDescent="0.2">
      <c r="I100"/>
    </row>
    <row r="101" spans="9:10" ht="26.1" hidden="1" customHeight="1" x14ac:dyDescent="0.2">
      <c r="I101"/>
    </row>
    <row r="102" spans="9:10" ht="26.1" hidden="1" customHeight="1" x14ac:dyDescent="0.2">
      <c r="I102"/>
    </row>
    <row r="103" spans="9:10" ht="26.1" hidden="1" customHeight="1" x14ac:dyDescent="0.2">
      <c r="I103"/>
    </row>
    <row r="104" spans="9:10" ht="26.1" hidden="1" customHeight="1" x14ac:dyDescent="0.2">
      <c r="I104"/>
    </row>
    <row r="105" spans="9:10" ht="26.1" hidden="1" customHeight="1" x14ac:dyDescent="0.2"/>
    <row r="106" spans="9:10" ht="26.1" hidden="1" customHeight="1" x14ac:dyDescent="0.2"/>
    <row r="107" spans="9:10" ht="26.1" hidden="1" customHeight="1" x14ac:dyDescent="0.2">
      <c r="I107" s="25"/>
      <c r="J107" s="24"/>
    </row>
    <row r="108" spans="9:10" ht="26.1" hidden="1" customHeight="1" x14ac:dyDescent="0.2"/>
    <row r="109" spans="9:10" ht="12" hidden="1" x14ac:dyDescent="0.2"/>
    <row r="110" spans="9:10" ht="12" hidden="1" x14ac:dyDescent="0.2"/>
    <row r="111" spans="9:10" ht="12" hidden="1" x14ac:dyDescent="0.2"/>
  </sheetData>
  <mergeCells count="2">
    <mergeCell ref="A1:H1"/>
    <mergeCell ref="B39:B40"/>
  </mergeCells>
  <conditionalFormatting sqref="B3:B14">
    <cfRule type="duplicateValues" dxfId="98" priority="16"/>
    <cfRule type="duplicateValues" dxfId="97" priority="17"/>
  </conditionalFormatting>
  <conditionalFormatting sqref="B3:B25">
    <cfRule type="duplicateValues" dxfId="96" priority="15"/>
  </conditionalFormatting>
  <conditionalFormatting sqref="B10">
    <cfRule type="duplicateValues" dxfId="95" priority="13"/>
  </conditionalFormatting>
  <conditionalFormatting sqref="B10:B11">
    <cfRule type="duplicateValues" dxfId="94" priority="14"/>
  </conditionalFormatting>
  <conditionalFormatting sqref="B13">
    <cfRule type="duplicateValues" dxfId="93" priority="11"/>
  </conditionalFormatting>
  <conditionalFormatting sqref="B13:B14">
    <cfRule type="duplicateValues" dxfId="92" priority="12"/>
  </conditionalFormatting>
  <conditionalFormatting sqref="B15:B16">
    <cfRule type="duplicateValues" dxfId="91" priority="9"/>
    <cfRule type="duplicateValues" dxfId="90" priority="10"/>
  </conditionalFormatting>
  <conditionalFormatting sqref="B18">
    <cfRule type="duplicateValues" dxfId="89" priority="7"/>
  </conditionalFormatting>
  <conditionalFormatting sqref="B19:B20 B17">
    <cfRule type="duplicateValues" dxfId="88" priority="8"/>
  </conditionalFormatting>
  <conditionalFormatting sqref="B21:B22">
    <cfRule type="duplicateValues" dxfId="87" priority="5"/>
  </conditionalFormatting>
  <conditionalFormatting sqref="B23">
    <cfRule type="duplicateValues" dxfId="86" priority="4"/>
  </conditionalFormatting>
  <conditionalFormatting sqref="B24">
    <cfRule type="duplicateValues" dxfId="85" priority="3"/>
  </conditionalFormatting>
  <conditionalFormatting sqref="B25">
    <cfRule type="duplicateValues" dxfId="84" priority="1"/>
    <cfRule type="duplicateValues" dxfId="83" priority="2"/>
  </conditionalFormatting>
  <conditionalFormatting sqref="C18">
    <cfRule type="duplicateValues" dxfId="82" priority="6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A6CD-4B1B-44BA-AC66-24EFDCDBF6A5}">
  <dimension ref="A1:M105"/>
  <sheetViews>
    <sheetView topLeftCell="A5" zoomScale="70" zoomScaleNormal="70" workbookViewId="0">
      <selection activeCell="A31" sqref="A31"/>
    </sheetView>
  </sheetViews>
  <sheetFormatPr defaultColWidth="0" defaultRowHeight="0" customHeight="1" zeroHeight="1" x14ac:dyDescent="0.2"/>
  <cols>
    <col min="1" max="1" width="15.7109375" customWidth="1"/>
    <col min="2" max="4" width="35.5703125" style="21" customWidth="1"/>
    <col min="5" max="5" width="35.5703125" style="23" customWidth="1"/>
    <col min="6" max="6" width="35.5703125" style="22" customWidth="1"/>
    <col min="7" max="7" width="35.5703125" style="23" customWidth="1"/>
    <col min="8" max="8" width="35.5703125" style="92" customWidth="1"/>
    <col min="9" max="9" width="35.5703125" style="8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10" ht="26.1" customHeight="1" x14ac:dyDescent="0.2">
      <c r="A1" s="167" t="s">
        <v>28</v>
      </c>
      <c r="B1" s="167"/>
      <c r="C1" s="167"/>
      <c r="D1" s="167"/>
      <c r="E1" s="167"/>
      <c r="F1" s="167"/>
      <c r="G1" s="167"/>
      <c r="H1" s="167"/>
      <c r="I1" s="39"/>
      <c r="J1" s="39"/>
    </row>
    <row r="2" spans="1:10" ht="26.1" customHeight="1" x14ac:dyDescent="0.2">
      <c r="A2" s="34" t="s">
        <v>5</v>
      </c>
      <c r="B2" s="34" t="s">
        <v>41</v>
      </c>
      <c r="C2" s="34" t="s">
        <v>75</v>
      </c>
      <c r="D2" s="35" t="s">
        <v>54</v>
      </c>
      <c r="E2" s="36" t="s">
        <v>55</v>
      </c>
      <c r="F2" s="35" t="s">
        <v>45</v>
      </c>
      <c r="G2" s="36" t="s">
        <v>46</v>
      </c>
      <c r="H2" s="85" t="s">
        <v>42</v>
      </c>
      <c r="I2"/>
    </row>
    <row r="3" spans="1:10" ht="26.1" customHeight="1" x14ac:dyDescent="0.2">
      <c r="A3" s="3">
        <v>1</v>
      </c>
      <c r="B3" s="20" t="s">
        <v>310</v>
      </c>
      <c r="C3" s="20" t="s">
        <v>311</v>
      </c>
      <c r="D3" s="6">
        <v>1308627.6599999999</v>
      </c>
      <c r="E3" s="52">
        <v>226591</v>
      </c>
      <c r="F3" s="53"/>
      <c r="G3" s="54"/>
      <c r="H3" s="89">
        <v>45457</v>
      </c>
      <c r="I3"/>
    </row>
    <row r="4" spans="1:10" ht="26.1" customHeight="1" x14ac:dyDescent="0.2">
      <c r="A4" s="3">
        <v>2</v>
      </c>
      <c r="B4" s="20" t="s">
        <v>312</v>
      </c>
      <c r="C4" s="20" t="s">
        <v>313</v>
      </c>
      <c r="D4" s="6">
        <v>891792.39999999991</v>
      </c>
      <c r="E4" s="52">
        <v>144119</v>
      </c>
      <c r="F4" s="55"/>
      <c r="G4" s="56"/>
      <c r="H4" s="89">
        <v>45625</v>
      </c>
      <c r="I4"/>
    </row>
    <row r="5" spans="1:10" ht="26.1" customHeight="1" x14ac:dyDescent="0.2">
      <c r="A5" s="3">
        <v>3</v>
      </c>
      <c r="B5" s="20" t="s">
        <v>314</v>
      </c>
      <c r="C5" s="20" t="s">
        <v>315</v>
      </c>
      <c r="D5" s="6">
        <v>766286.09000000008</v>
      </c>
      <c r="E5" s="52">
        <v>99701</v>
      </c>
      <c r="F5" s="55"/>
      <c r="G5" s="56"/>
      <c r="H5" s="89">
        <v>45499</v>
      </c>
      <c r="I5"/>
    </row>
    <row r="6" spans="1:10" ht="26.1" customHeight="1" x14ac:dyDescent="0.2">
      <c r="A6" s="3">
        <v>4</v>
      </c>
      <c r="B6" s="20" t="s">
        <v>316</v>
      </c>
      <c r="C6" s="20" t="s">
        <v>317</v>
      </c>
      <c r="D6" s="6">
        <v>362814.87</v>
      </c>
      <c r="E6" s="52">
        <v>52027</v>
      </c>
      <c r="F6" s="55"/>
      <c r="G6" s="56"/>
      <c r="H6" s="89">
        <v>45310</v>
      </c>
      <c r="I6"/>
    </row>
    <row r="7" spans="1:10" ht="26.1" customHeight="1" x14ac:dyDescent="0.2">
      <c r="A7" s="3">
        <v>5</v>
      </c>
      <c r="B7" s="20" t="s">
        <v>318</v>
      </c>
      <c r="C7" s="20" t="s">
        <v>319</v>
      </c>
      <c r="D7" s="6">
        <v>191709.73</v>
      </c>
      <c r="E7" s="52">
        <v>30474</v>
      </c>
      <c r="F7" s="55"/>
      <c r="G7" s="56"/>
      <c r="H7" s="89" t="s">
        <v>338</v>
      </c>
      <c r="I7"/>
    </row>
    <row r="8" spans="1:10" ht="26.1" customHeight="1" x14ac:dyDescent="0.2">
      <c r="A8" s="3">
        <v>6</v>
      </c>
      <c r="B8" s="20" t="s">
        <v>320</v>
      </c>
      <c r="C8" s="20" t="s">
        <v>321</v>
      </c>
      <c r="D8" s="6">
        <v>142024.56</v>
      </c>
      <c r="E8" s="52">
        <v>20080</v>
      </c>
      <c r="F8" s="55"/>
      <c r="G8" s="56"/>
      <c r="H8" s="89">
        <v>45520</v>
      </c>
      <c r="I8"/>
    </row>
    <row r="9" spans="1:10" ht="26.1" customHeight="1" x14ac:dyDescent="0.2">
      <c r="A9" s="3">
        <v>7</v>
      </c>
      <c r="B9" s="20" t="s">
        <v>322</v>
      </c>
      <c r="C9" s="20" t="s">
        <v>323</v>
      </c>
      <c r="D9" s="6">
        <v>121991.32</v>
      </c>
      <c r="E9" s="52">
        <v>17653</v>
      </c>
      <c r="F9" s="55"/>
      <c r="G9" s="56"/>
      <c r="H9" s="89">
        <v>45422</v>
      </c>
      <c r="I9"/>
    </row>
    <row r="10" spans="1:10" ht="26.1" customHeight="1" x14ac:dyDescent="0.2">
      <c r="A10" s="3">
        <v>8</v>
      </c>
      <c r="B10" s="20" t="s">
        <v>324</v>
      </c>
      <c r="C10" s="20" t="s">
        <v>325</v>
      </c>
      <c r="D10" s="6">
        <v>62395.579999999994</v>
      </c>
      <c r="E10" s="52">
        <v>11938</v>
      </c>
      <c r="F10" s="55"/>
      <c r="G10" s="56"/>
      <c r="H10" s="89">
        <v>45254</v>
      </c>
      <c r="I10"/>
    </row>
    <row r="11" spans="1:10" ht="26.1" customHeight="1" x14ac:dyDescent="0.2">
      <c r="A11" s="3">
        <v>9</v>
      </c>
      <c r="B11" s="20" t="s">
        <v>326</v>
      </c>
      <c r="C11" s="20" t="s">
        <v>327</v>
      </c>
      <c r="D11" s="6">
        <v>55185.46</v>
      </c>
      <c r="E11" s="52">
        <v>8376</v>
      </c>
      <c r="F11" s="55"/>
      <c r="G11" s="56"/>
      <c r="H11" s="89">
        <v>45478</v>
      </c>
      <c r="I11"/>
    </row>
    <row r="12" spans="1:10" ht="26.1" customHeight="1" x14ac:dyDescent="0.2">
      <c r="A12" s="3">
        <v>10</v>
      </c>
      <c r="B12" s="20" t="s">
        <v>328</v>
      </c>
      <c r="C12" s="20" t="s">
        <v>329</v>
      </c>
      <c r="D12" s="6">
        <v>29170.77</v>
      </c>
      <c r="E12" s="52">
        <v>4058</v>
      </c>
      <c r="F12" s="55"/>
      <c r="G12" s="56"/>
      <c r="H12" s="89">
        <v>45387</v>
      </c>
      <c r="I12"/>
    </row>
    <row r="13" spans="1:10" ht="26.1" customHeight="1" x14ac:dyDescent="0.2">
      <c r="A13" s="3">
        <v>11</v>
      </c>
      <c r="B13" s="20" t="s">
        <v>330</v>
      </c>
      <c r="C13" s="20" t="s">
        <v>331</v>
      </c>
      <c r="D13" s="6">
        <v>4984.13</v>
      </c>
      <c r="E13" s="52">
        <v>817</v>
      </c>
      <c r="F13" s="55"/>
      <c r="G13" s="56"/>
      <c r="H13" s="89">
        <v>45303</v>
      </c>
      <c r="I13"/>
    </row>
    <row r="14" spans="1:10" ht="26.1" customHeight="1" x14ac:dyDescent="0.2">
      <c r="A14" s="3">
        <v>12</v>
      </c>
      <c r="B14" s="20" t="s">
        <v>332</v>
      </c>
      <c r="C14" s="20" t="s">
        <v>333</v>
      </c>
      <c r="D14" s="6">
        <v>1389.39</v>
      </c>
      <c r="E14" s="52">
        <v>423</v>
      </c>
      <c r="F14" s="55"/>
      <c r="G14" s="56"/>
      <c r="H14" s="89">
        <v>44400</v>
      </c>
      <c r="I14"/>
    </row>
    <row r="15" spans="1:10" ht="26.1" customHeight="1" x14ac:dyDescent="0.2">
      <c r="A15" s="3">
        <v>13</v>
      </c>
      <c r="B15" s="20" t="s">
        <v>334</v>
      </c>
      <c r="C15" s="20" t="s">
        <v>335</v>
      </c>
      <c r="D15" s="6">
        <v>1057.6399999999999</v>
      </c>
      <c r="E15" s="52">
        <v>223</v>
      </c>
      <c r="F15" s="55"/>
      <c r="G15" s="56"/>
      <c r="H15" s="89">
        <v>45408</v>
      </c>
      <c r="I15"/>
    </row>
    <row r="16" spans="1:10" ht="26.1" customHeight="1" x14ac:dyDescent="0.2">
      <c r="A16" s="3">
        <v>14</v>
      </c>
      <c r="B16" s="20" t="s">
        <v>336</v>
      </c>
      <c r="C16" s="20" t="s">
        <v>337</v>
      </c>
      <c r="D16" s="6">
        <v>663.09999999999991</v>
      </c>
      <c r="E16" s="4">
        <v>134</v>
      </c>
      <c r="F16" s="55"/>
      <c r="G16" s="56"/>
      <c r="H16" s="89">
        <v>45072</v>
      </c>
      <c r="I16"/>
    </row>
    <row r="17" spans="1:9" ht="26.1" customHeight="1" x14ac:dyDescent="0.2">
      <c r="A17" s="3">
        <v>15</v>
      </c>
      <c r="B17" s="20" t="s">
        <v>339</v>
      </c>
      <c r="C17" s="20" t="s">
        <v>340</v>
      </c>
      <c r="D17" s="53"/>
      <c r="E17" s="54"/>
      <c r="F17" s="6">
        <v>56633.02</v>
      </c>
      <c r="G17" s="4">
        <v>8084</v>
      </c>
      <c r="H17" s="89">
        <v>45394</v>
      </c>
      <c r="I17"/>
    </row>
    <row r="18" spans="1:9" ht="26.1" customHeight="1" x14ac:dyDescent="0.2">
      <c r="A18" s="3">
        <v>16</v>
      </c>
      <c r="B18" s="20" t="s">
        <v>341</v>
      </c>
      <c r="C18" s="20" t="s">
        <v>342</v>
      </c>
      <c r="D18" s="55"/>
      <c r="E18" s="56"/>
      <c r="F18" s="6">
        <v>49319.75</v>
      </c>
      <c r="G18" s="4">
        <v>6970</v>
      </c>
      <c r="H18" s="89">
        <v>45590</v>
      </c>
      <c r="I18"/>
    </row>
    <row r="19" spans="1:9" ht="26.1" customHeight="1" x14ac:dyDescent="0.2">
      <c r="A19" s="3">
        <v>17</v>
      </c>
      <c r="B19" s="20" t="s">
        <v>343</v>
      </c>
      <c r="C19" s="20" t="s">
        <v>344</v>
      </c>
      <c r="D19" s="55"/>
      <c r="E19" s="56"/>
      <c r="F19" s="6">
        <v>33228.07</v>
      </c>
      <c r="G19" s="4">
        <v>5107</v>
      </c>
      <c r="H19" s="89">
        <v>45583</v>
      </c>
      <c r="I19"/>
    </row>
    <row r="20" spans="1:9" ht="26.1" customHeight="1" x14ac:dyDescent="0.2">
      <c r="A20" s="3">
        <v>18</v>
      </c>
      <c r="B20" s="20" t="s">
        <v>345</v>
      </c>
      <c r="C20" s="20" t="s">
        <v>346</v>
      </c>
      <c r="D20" s="55"/>
      <c r="E20" s="56"/>
      <c r="F20" s="6">
        <v>13753.3</v>
      </c>
      <c r="G20" s="4">
        <v>2209</v>
      </c>
      <c r="H20" s="89">
        <v>45296</v>
      </c>
      <c r="I20"/>
    </row>
    <row r="21" spans="1:9" ht="26.1" customHeight="1" x14ac:dyDescent="0.2">
      <c r="A21" s="3">
        <v>19</v>
      </c>
      <c r="B21" s="20" t="s">
        <v>347</v>
      </c>
      <c r="C21" s="20" t="s">
        <v>348</v>
      </c>
      <c r="D21" s="55"/>
      <c r="E21" s="56"/>
      <c r="F21" s="6">
        <v>8094.77</v>
      </c>
      <c r="G21" s="4">
        <v>1221</v>
      </c>
      <c r="H21" s="89">
        <v>45485</v>
      </c>
      <c r="I21"/>
    </row>
    <row r="22" spans="1:9" ht="26.1" customHeight="1" x14ac:dyDescent="0.2">
      <c r="A22" s="31">
        <v>20</v>
      </c>
      <c r="B22" s="48" t="s">
        <v>349</v>
      </c>
      <c r="C22" s="20" t="s">
        <v>350</v>
      </c>
      <c r="D22" s="58"/>
      <c r="E22" s="59"/>
      <c r="F22" s="50">
        <v>6872.33</v>
      </c>
      <c r="G22" s="32">
        <v>1109</v>
      </c>
      <c r="H22" s="89">
        <v>45296</v>
      </c>
      <c r="I22"/>
    </row>
    <row r="23" spans="1:9" ht="26.1" customHeight="1" x14ac:dyDescent="0.2">
      <c r="A23" s="3">
        <v>21</v>
      </c>
      <c r="B23" s="49" t="s">
        <v>351</v>
      </c>
      <c r="C23" s="20" t="s">
        <v>352</v>
      </c>
      <c r="D23" s="58"/>
      <c r="E23" s="59"/>
      <c r="F23" s="51">
        <v>5753.96</v>
      </c>
      <c r="G23" s="4">
        <v>847</v>
      </c>
      <c r="H23" s="89">
        <v>45324</v>
      </c>
      <c r="I23"/>
    </row>
    <row r="24" spans="1:9" ht="26.1" customHeight="1" x14ac:dyDescent="0.2">
      <c r="A24" s="3">
        <v>22</v>
      </c>
      <c r="B24" s="49" t="s">
        <v>353</v>
      </c>
      <c r="C24" s="20" t="s">
        <v>354</v>
      </c>
      <c r="D24" s="58"/>
      <c r="E24" s="59"/>
      <c r="F24" s="51">
        <v>3476.45</v>
      </c>
      <c r="G24" s="4">
        <v>553</v>
      </c>
      <c r="H24" s="89">
        <v>45576</v>
      </c>
      <c r="I24"/>
    </row>
    <row r="25" spans="1:9" ht="26.1" customHeight="1" x14ac:dyDescent="0.2">
      <c r="A25" s="3">
        <v>23</v>
      </c>
      <c r="B25" s="49" t="s">
        <v>355</v>
      </c>
      <c r="C25" s="20" t="s">
        <v>355</v>
      </c>
      <c r="D25" s="58"/>
      <c r="E25" s="59"/>
      <c r="F25" s="51">
        <v>3291.6800000000003</v>
      </c>
      <c r="G25" s="4">
        <v>630</v>
      </c>
      <c r="H25" s="89">
        <v>45548</v>
      </c>
      <c r="I25"/>
    </row>
    <row r="26" spans="1:9" ht="26.1" customHeight="1" x14ac:dyDescent="0.2">
      <c r="A26" s="3">
        <v>24</v>
      </c>
      <c r="B26" s="49" t="s">
        <v>356</v>
      </c>
      <c r="C26" s="20" t="s">
        <v>357</v>
      </c>
      <c r="D26" s="58"/>
      <c r="E26" s="59"/>
      <c r="F26" s="51">
        <v>588</v>
      </c>
      <c r="G26" s="4">
        <v>147</v>
      </c>
      <c r="H26" s="89">
        <v>44981</v>
      </c>
      <c r="I26"/>
    </row>
    <row r="27" spans="1:9" ht="26.1" customHeight="1" x14ac:dyDescent="0.2">
      <c r="A27" s="3">
        <v>25</v>
      </c>
      <c r="B27" s="49" t="s">
        <v>358</v>
      </c>
      <c r="C27" s="20" t="s">
        <v>359</v>
      </c>
      <c r="D27" s="58"/>
      <c r="E27" s="59"/>
      <c r="F27" s="51">
        <v>474</v>
      </c>
      <c r="G27" s="4">
        <v>116</v>
      </c>
      <c r="H27" s="89">
        <v>45156</v>
      </c>
      <c r="I27"/>
    </row>
    <row r="28" spans="1:9" ht="26.1" customHeight="1" x14ac:dyDescent="0.2">
      <c r="A28" s="3">
        <v>26</v>
      </c>
      <c r="B28" s="49" t="s">
        <v>360</v>
      </c>
      <c r="C28" s="20" t="s">
        <v>360</v>
      </c>
      <c r="D28" s="58"/>
      <c r="E28" s="59"/>
      <c r="F28" s="51">
        <v>367.83</v>
      </c>
      <c r="G28" s="4">
        <v>78</v>
      </c>
      <c r="H28" s="89">
        <v>45541</v>
      </c>
      <c r="I28"/>
    </row>
    <row r="29" spans="1:9" ht="26.1" customHeight="1" x14ac:dyDescent="0.2">
      <c r="A29" s="3">
        <v>27</v>
      </c>
      <c r="B29" s="49" t="s">
        <v>361</v>
      </c>
      <c r="C29" s="20" t="s">
        <v>362</v>
      </c>
      <c r="D29" s="58"/>
      <c r="E29" s="59"/>
      <c r="F29" s="51">
        <v>121</v>
      </c>
      <c r="G29" s="4">
        <v>21</v>
      </c>
      <c r="H29" s="89">
        <v>43868</v>
      </c>
      <c r="I29"/>
    </row>
    <row r="30" spans="1:9" ht="26.1" customHeight="1" x14ac:dyDescent="0.2">
      <c r="A30" s="3">
        <v>28</v>
      </c>
      <c r="B30" s="49" t="s">
        <v>363</v>
      </c>
      <c r="C30" s="20" t="s">
        <v>364</v>
      </c>
      <c r="D30" s="58"/>
      <c r="E30" s="59"/>
      <c r="F30" s="51">
        <v>108</v>
      </c>
      <c r="G30" s="4">
        <v>18</v>
      </c>
      <c r="H30" s="89">
        <v>45149</v>
      </c>
      <c r="I30"/>
    </row>
    <row r="31" spans="1:9" ht="26.1" customHeight="1" x14ac:dyDescent="0.2">
      <c r="A31" s="116" t="s">
        <v>34</v>
      </c>
      <c r="B31" s="141"/>
      <c r="C31" s="141"/>
      <c r="D31" s="142">
        <f>SUBTOTAL(109,Table356[WDSMPI
Pajamos])</f>
        <v>3940092.6999999997</v>
      </c>
      <c r="E31" s="143">
        <f>SUBTOTAL(109,Table356[WDSMPI
Žiūrovai])</f>
        <v>616614</v>
      </c>
      <c r="F31" s="144">
        <f>SUBTOTAL(109,Table356[Independent
Pajamos])</f>
        <v>182082.15999999995</v>
      </c>
      <c r="G31" s="145">
        <f>SUBTOTAL(109,Table356[Independent 
Žiūrovai])</f>
        <v>27110</v>
      </c>
      <c r="H31" s="146"/>
      <c r="I31"/>
    </row>
    <row r="32" spans="1:9" ht="26.1" customHeight="1" thickBot="1" x14ac:dyDescent="0.25">
      <c r="A32" s="67"/>
      <c r="B32" s="68"/>
      <c r="C32" s="68"/>
      <c r="D32" s="69"/>
      <c r="E32" s="69"/>
      <c r="F32" s="69"/>
      <c r="G32" s="70"/>
      <c r="H32" s="90"/>
      <c r="I32"/>
    </row>
    <row r="33" spans="1:9" ht="26.1" customHeight="1" thickBot="1" x14ac:dyDescent="0.25">
      <c r="A33" s="74"/>
      <c r="B33" s="170" t="s">
        <v>56</v>
      </c>
      <c r="C33" s="125"/>
      <c r="D33" s="126" t="s">
        <v>47</v>
      </c>
      <c r="E33" s="127" t="s">
        <v>48</v>
      </c>
      <c r="F33" s="71"/>
      <c r="G33" s="72"/>
      <c r="H33" s="91"/>
      <c r="I33"/>
    </row>
    <row r="34" spans="1:9" ht="26.1" customHeight="1" thickBot="1" x14ac:dyDescent="0.25">
      <c r="A34" s="79"/>
      <c r="B34" s="171"/>
      <c r="C34" s="128"/>
      <c r="D34" s="129">
        <f>Table356[[#Totals],[WDSMPI
Pajamos]]+Table356[[#Totals],[Independent
Pajamos]]</f>
        <v>4122174.86</v>
      </c>
      <c r="E34" s="130">
        <f>Table356[[#Totals],[WDSMPI
Žiūrovai]]+Table356[[#Totals],[Independent 
Žiūrovai]]</f>
        <v>643724</v>
      </c>
      <c r="F34" s="75"/>
      <c r="G34" s="76"/>
      <c r="H34" s="91"/>
      <c r="I34"/>
    </row>
    <row r="35" spans="1:9" ht="26.1" customHeight="1" x14ac:dyDescent="0.2">
      <c r="A35" s="74"/>
      <c r="B35" s="80"/>
      <c r="C35" s="80"/>
      <c r="D35" s="80"/>
      <c r="E35" s="78"/>
      <c r="F35" s="71"/>
      <c r="G35" s="78"/>
      <c r="H35" s="91"/>
      <c r="I35"/>
    </row>
    <row r="36" spans="1:9" ht="26.1" hidden="1" customHeight="1" x14ac:dyDescent="0.2">
      <c r="I36"/>
    </row>
    <row r="37" spans="1:9" ht="26.1" hidden="1" customHeight="1" x14ac:dyDescent="0.2">
      <c r="I37"/>
    </row>
    <row r="38" spans="1:9" ht="26.1" hidden="1" customHeight="1" x14ac:dyDescent="0.2">
      <c r="I38"/>
    </row>
    <row r="39" spans="1:9" ht="26.1" hidden="1" customHeight="1" x14ac:dyDescent="0.2">
      <c r="I39"/>
    </row>
    <row r="40" spans="1:9" ht="26.1" hidden="1" customHeight="1" x14ac:dyDescent="0.2">
      <c r="I40"/>
    </row>
    <row r="41" spans="1:9" ht="26.1" hidden="1" customHeight="1" x14ac:dyDescent="0.2">
      <c r="I41"/>
    </row>
    <row r="42" spans="1:9" ht="26.1" hidden="1" customHeight="1" x14ac:dyDescent="0.2">
      <c r="I42"/>
    </row>
    <row r="43" spans="1:9" ht="26.1" hidden="1" customHeight="1" x14ac:dyDescent="0.2">
      <c r="I43"/>
    </row>
    <row r="44" spans="1:9" ht="26.1" hidden="1" customHeight="1" x14ac:dyDescent="0.2">
      <c r="I44"/>
    </row>
    <row r="45" spans="1:9" ht="26.1" hidden="1" customHeight="1" x14ac:dyDescent="0.2">
      <c r="I45"/>
    </row>
    <row r="46" spans="1:9" ht="26.1" hidden="1" customHeight="1" x14ac:dyDescent="0.2">
      <c r="I46"/>
    </row>
    <row r="47" spans="1:9" ht="26.1" hidden="1" customHeight="1" x14ac:dyDescent="0.2">
      <c r="I47"/>
    </row>
    <row r="48" spans="1:9" ht="26.1" hidden="1" customHeight="1" x14ac:dyDescent="0.2">
      <c r="I48"/>
    </row>
    <row r="49" spans="9:9" ht="26.1" hidden="1" customHeight="1" x14ac:dyDescent="0.2">
      <c r="I49"/>
    </row>
    <row r="50" spans="9:9" ht="26.1" hidden="1" customHeight="1" x14ac:dyDescent="0.2">
      <c r="I50"/>
    </row>
    <row r="51" spans="9:9" ht="26.1" hidden="1" customHeight="1" x14ac:dyDescent="0.2">
      <c r="I51"/>
    </row>
    <row r="52" spans="9:9" ht="26.1" hidden="1" customHeight="1" x14ac:dyDescent="0.2">
      <c r="I52"/>
    </row>
    <row r="53" spans="9:9" ht="26.1" hidden="1" customHeight="1" x14ac:dyDescent="0.2">
      <c r="I53"/>
    </row>
    <row r="54" spans="9:9" ht="26.1" hidden="1" customHeight="1" x14ac:dyDescent="0.2">
      <c r="I54"/>
    </row>
    <row r="55" spans="9:9" ht="26.1" hidden="1" customHeight="1" x14ac:dyDescent="0.2">
      <c r="I55"/>
    </row>
    <row r="56" spans="9:9" ht="26.1" hidden="1" customHeight="1" x14ac:dyDescent="0.2">
      <c r="I56"/>
    </row>
    <row r="57" spans="9:9" ht="26.1" hidden="1" customHeight="1" x14ac:dyDescent="0.2">
      <c r="I57"/>
    </row>
    <row r="58" spans="9:9" ht="26.1" hidden="1" customHeight="1" x14ac:dyDescent="0.2">
      <c r="I58"/>
    </row>
    <row r="59" spans="9:9" ht="26.1" hidden="1" customHeight="1" x14ac:dyDescent="0.2">
      <c r="I59"/>
    </row>
    <row r="60" spans="9:9" ht="26.1" hidden="1" customHeight="1" x14ac:dyDescent="0.2">
      <c r="I60"/>
    </row>
    <row r="61" spans="9:9" ht="26.1" hidden="1" customHeight="1" x14ac:dyDescent="0.2">
      <c r="I61"/>
    </row>
    <row r="62" spans="9:9" ht="26.1" hidden="1" customHeight="1" x14ac:dyDescent="0.2">
      <c r="I62"/>
    </row>
    <row r="63" spans="9:9" ht="26.1" hidden="1" customHeight="1" x14ac:dyDescent="0.2">
      <c r="I63"/>
    </row>
    <row r="64" spans="9:9" ht="26.1" hidden="1" customHeight="1" x14ac:dyDescent="0.2">
      <c r="I64"/>
    </row>
    <row r="65" spans="9:9" ht="26.1" hidden="1" customHeight="1" x14ac:dyDescent="0.2">
      <c r="I65"/>
    </row>
    <row r="66" spans="9:9" ht="26.1" hidden="1" customHeight="1" x14ac:dyDescent="0.2">
      <c r="I66"/>
    </row>
    <row r="67" spans="9:9" ht="26.1" hidden="1" customHeight="1" x14ac:dyDescent="0.2">
      <c r="I67"/>
    </row>
    <row r="68" spans="9:9" ht="26.1" hidden="1" customHeight="1" x14ac:dyDescent="0.2">
      <c r="I68"/>
    </row>
    <row r="69" spans="9:9" ht="26.1" hidden="1" customHeight="1" x14ac:dyDescent="0.2">
      <c r="I69"/>
    </row>
    <row r="70" spans="9:9" ht="26.1" hidden="1" customHeight="1" x14ac:dyDescent="0.2">
      <c r="I70"/>
    </row>
    <row r="71" spans="9:9" ht="26.1" hidden="1" customHeight="1" x14ac:dyDescent="0.2">
      <c r="I71"/>
    </row>
    <row r="72" spans="9:9" ht="26.1" hidden="1" customHeight="1" x14ac:dyDescent="0.2">
      <c r="I72"/>
    </row>
    <row r="73" spans="9:9" ht="26.1" hidden="1" customHeight="1" x14ac:dyDescent="0.2">
      <c r="I73"/>
    </row>
    <row r="74" spans="9:9" ht="26.1" hidden="1" customHeight="1" x14ac:dyDescent="0.2">
      <c r="I74"/>
    </row>
    <row r="75" spans="9:9" ht="26.1" hidden="1" customHeight="1" x14ac:dyDescent="0.2">
      <c r="I75"/>
    </row>
    <row r="76" spans="9:9" ht="26.1" hidden="1" customHeight="1" x14ac:dyDescent="0.2">
      <c r="I76"/>
    </row>
    <row r="77" spans="9:9" ht="26.1" hidden="1" customHeight="1" x14ac:dyDescent="0.2">
      <c r="I77"/>
    </row>
    <row r="78" spans="9:9" ht="26.1" hidden="1" customHeight="1" x14ac:dyDescent="0.2">
      <c r="I78"/>
    </row>
    <row r="79" spans="9:9" ht="26.1" hidden="1" customHeight="1" x14ac:dyDescent="0.2">
      <c r="I79"/>
    </row>
    <row r="80" spans="9:9" ht="26.1" hidden="1" customHeight="1" x14ac:dyDescent="0.2">
      <c r="I80"/>
    </row>
    <row r="81" spans="9:9" ht="26.1" hidden="1" customHeight="1" x14ac:dyDescent="0.2">
      <c r="I81"/>
    </row>
    <row r="82" spans="9:9" ht="26.1" hidden="1" customHeight="1" x14ac:dyDescent="0.2">
      <c r="I82"/>
    </row>
    <row r="83" spans="9:9" ht="26.1" hidden="1" customHeight="1" x14ac:dyDescent="0.2">
      <c r="I83"/>
    </row>
    <row r="84" spans="9:9" ht="26.1" hidden="1" customHeight="1" x14ac:dyDescent="0.2">
      <c r="I84"/>
    </row>
    <row r="85" spans="9:9" ht="26.1" hidden="1" customHeight="1" x14ac:dyDescent="0.2">
      <c r="I85"/>
    </row>
    <row r="86" spans="9:9" ht="26.1" hidden="1" customHeight="1" x14ac:dyDescent="0.2">
      <c r="I86"/>
    </row>
    <row r="87" spans="9:9" ht="26.1" hidden="1" customHeight="1" x14ac:dyDescent="0.2">
      <c r="I87"/>
    </row>
    <row r="88" spans="9:9" ht="26.1" hidden="1" customHeight="1" x14ac:dyDescent="0.2">
      <c r="I88"/>
    </row>
    <row r="89" spans="9:9" ht="26.1" hidden="1" customHeight="1" x14ac:dyDescent="0.2">
      <c r="I89"/>
    </row>
    <row r="90" spans="9:9" ht="26.1" hidden="1" customHeight="1" x14ac:dyDescent="0.2">
      <c r="I90"/>
    </row>
    <row r="91" spans="9:9" ht="26.1" hidden="1" customHeight="1" x14ac:dyDescent="0.2">
      <c r="I91"/>
    </row>
    <row r="92" spans="9:9" ht="26.1" hidden="1" customHeight="1" x14ac:dyDescent="0.2">
      <c r="I92"/>
    </row>
    <row r="93" spans="9:9" ht="26.1" hidden="1" customHeight="1" x14ac:dyDescent="0.2">
      <c r="I93"/>
    </row>
    <row r="94" spans="9:9" ht="26.1" hidden="1" customHeight="1" x14ac:dyDescent="0.2">
      <c r="I94"/>
    </row>
    <row r="95" spans="9:9" ht="26.1" hidden="1" customHeight="1" x14ac:dyDescent="0.2">
      <c r="I95"/>
    </row>
    <row r="96" spans="9:9" ht="26.1" hidden="1" customHeight="1" x14ac:dyDescent="0.2">
      <c r="I96"/>
    </row>
    <row r="97" spans="9:10" ht="26.1" hidden="1" customHeight="1" x14ac:dyDescent="0.2">
      <c r="I97"/>
    </row>
    <row r="98" spans="9:10" ht="26.1" hidden="1" customHeight="1" x14ac:dyDescent="0.2">
      <c r="I98"/>
    </row>
    <row r="99" spans="9:10" ht="26.1" hidden="1" customHeight="1" x14ac:dyDescent="0.2"/>
    <row r="100" spans="9:10" ht="26.1" hidden="1" customHeight="1" x14ac:dyDescent="0.2"/>
    <row r="101" spans="9:10" ht="26.1" hidden="1" customHeight="1" x14ac:dyDescent="0.2">
      <c r="I101" s="25"/>
      <c r="J101" s="24"/>
    </row>
    <row r="102" spans="9:10" ht="26.1" hidden="1" customHeight="1" x14ac:dyDescent="0.2"/>
    <row r="103" spans="9:10" ht="12" hidden="1" x14ac:dyDescent="0.2"/>
    <row r="104" spans="9:10" ht="12" hidden="1" x14ac:dyDescent="0.2"/>
    <row r="105" spans="9:10" ht="12" hidden="1" x14ac:dyDescent="0.2"/>
  </sheetData>
  <mergeCells count="2">
    <mergeCell ref="A1:H1"/>
    <mergeCell ref="B33:B3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C9C0-11BD-4E44-8B5A-2C5C6B275BC2}">
  <dimension ref="A1:M182"/>
  <sheetViews>
    <sheetView zoomScale="70" zoomScaleNormal="70" workbookViewId="0">
      <selection activeCell="B4" sqref="B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57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58</v>
      </c>
      <c r="C3" s="20" t="s">
        <v>58</v>
      </c>
      <c r="D3" s="6">
        <v>1373449</v>
      </c>
      <c r="E3" s="4">
        <v>194206</v>
      </c>
      <c r="F3" s="89">
        <v>45289</v>
      </c>
      <c r="G3"/>
    </row>
    <row r="4" spans="1:8" ht="26.1" customHeight="1" x14ac:dyDescent="0.2">
      <c r="A4" s="3">
        <v>2</v>
      </c>
      <c r="B4" s="20" t="s">
        <v>455</v>
      </c>
      <c r="C4" s="20" t="s">
        <v>455</v>
      </c>
      <c r="D4" s="6">
        <v>539233</v>
      </c>
      <c r="E4" s="4">
        <v>75942</v>
      </c>
      <c r="F4" s="89">
        <v>45597</v>
      </c>
      <c r="G4"/>
    </row>
    <row r="5" spans="1:8" ht="26.1" customHeight="1" x14ac:dyDescent="0.2">
      <c r="A5" s="3">
        <v>3</v>
      </c>
      <c r="B5" s="20" t="s">
        <v>456</v>
      </c>
      <c r="C5" s="20" t="s">
        <v>456</v>
      </c>
      <c r="D5" s="6">
        <v>432240</v>
      </c>
      <c r="E5" s="4">
        <v>54706</v>
      </c>
      <c r="F5" s="89">
        <v>45646</v>
      </c>
      <c r="G5"/>
    </row>
    <row r="6" spans="1:8" ht="26.1" customHeight="1" x14ac:dyDescent="0.2">
      <c r="A6" s="116" t="s">
        <v>34</v>
      </c>
      <c r="B6" s="141" t="s">
        <v>33</v>
      </c>
      <c r="C6" s="141"/>
      <c r="D6" s="144">
        <f>SUBTOTAL(109,Vabalofilmai[
Pajamos])</f>
        <v>2344922</v>
      </c>
      <c r="E6" s="145">
        <f>SUBTOTAL(109,Vabalofilmai[ 
Žiūrovai])</f>
        <v>324854</v>
      </c>
      <c r="F6" s="147"/>
      <c r="G6"/>
    </row>
    <row r="7" spans="1:8" ht="26.1" hidden="1" customHeight="1" x14ac:dyDescent="0.2">
      <c r="A7" s="26"/>
      <c r="B7" s="27"/>
      <c r="C7" s="27"/>
      <c r="D7" s="28"/>
      <c r="E7" s="29"/>
      <c r="F7" s="30"/>
      <c r="G7"/>
    </row>
    <row r="8" spans="1:8" ht="26.1" hidden="1" customHeight="1" x14ac:dyDescent="0.2">
      <c r="E8" s="8"/>
      <c r="F8"/>
      <c r="G8"/>
    </row>
    <row r="9" spans="1:8" ht="26.1" hidden="1" customHeight="1" x14ac:dyDescent="0.2">
      <c r="E9" s="25"/>
      <c r="F9"/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5.5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/>
    <row r="177" spans="7:8" ht="26.1" hidden="1" customHeight="1" x14ac:dyDescent="0.2"/>
    <row r="178" spans="7:8" ht="26.1" hidden="1" customHeight="1" x14ac:dyDescent="0.2">
      <c r="G178" s="25"/>
      <c r="H178" s="24"/>
    </row>
    <row r="179" spans="7:8" ht="26.1" hidden="1" customHeight="1" x14ac:dyDescent="0.2"/>
    <row r="180" spans="7:8" ht="12" hidden="1" x14ac:dyDescent="0.2"/>
    <row r="181" spans="7:8" ht="12" hidden="1" x14ac:dyDescent="0.2"/>
    <row r="182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017E-BA78-4F8B-A2C3-9B416A04DC24}">
  <dimension ref="A1:M180"/>
  <sheetViews>
    <sheetView zoomScale="70" zoomScaleNormal="70" workbookViewId="0">
      <selection activeCell="A4" sqref="A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457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458</v>
      </c>
      <c r="C3" s="20" t="s">
        <v>458</v>
      </c>
      <c r="D3" s="6">
        <v>1319613.58</v>
      </c>
      <c r="E3" s="4">
        <v>195397</v>
      </c>
      <c r="F3" s="89">
        <v>45310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SUBTOTAL(109,Valujavičiauskelionės[
Pajamos])</f>
        <v>1319613.58</v>
      </c>
      <c r="E4" s="145">
        <f>SUBTOTAL(109,Valujavičiauskelionės[ 
Žiūrovai])</f>
        <v>195397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5.5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8" ht="26.1" hidden="1" customHeight="1" x14ac:dyDescent="0.2">
      <c r="G161"/>
    </row>
    <row r="162" spans="7:8" ht="26.1" hidden="1" customHeight="1" x14ac:dyDescent="0.2">
      <c r="G162"/>
    </row>
    <row r="163" spans="7:8" ht="26.1" hidden="1" customHeight="1" x14ac:dyDescent="0.2">
      <c r="G163"/>
    </row>
    <row r="164" spans="7:8" ht="26.1" hidden="1" customHeight="1" x14ac:dyDescent="0.2">
      <c r="G164"/>
    </row>
    <row r="165" spans="7:8" ht="26.1" hidden="1" customHeight="1" x14ac:dyDescent="0.2">
      <c r="G165"/>
    </row>
    <row r="166" spans="7:8" ht="26.1" hidden="1" customHeight="1" x14ac:dyDescent="0.2">
      <c r="G166"/>
    </row>
    <row r="167" spans="7:8" ht="26.1" hidden="1" customHeight="1" x14ac:dyDescent="0.2">
      <c r="G167"/>
    </row>
    <row r="168" spans="7:8" ht="26.1" hidden="1" customHeight="1" x14ac:dyDescent="0.2">
      <c r="G168"/>
    </row>
    <row r="169" spans="7:8" ht="26.1" hidden="1" customHeight="1" x14ac:dyDescent="0.2">
      <c r="G169"/>
    </row>
    <row r="170" spans="7:8" ht="26.1" hidden="1" customHeight="1" x14ac:dyDescent="0.2">
      <c r="G170"/>
    </row>
    <row r="171" spans="7:8" ht="26.1" hidden="1" customHeight="1" x14ac:dyDescent="0.2">
      <c r="G171"/>
    </row>
    <row r="172" spans="7:8" ht="26.1" hidden="1" customHeight="1" x14ac:dyDescent="0.2">
      <c r="G172"/>
    </row>
    <row r="173" spans="7:8" ht="26.1" hidden="1" customHeight="1" x14ac:dyDescent="0.2">
      <c r="G173"/>
    </row>
    <row r="174" spans="7:8" ht="26.1" hidden="1" customHeight="1" x14ac:dyDescent="0.2"/>
    <row r="175" spans="7:8" ht="26.1" hidden="1" customHeight="1" x14ac:dyDescent="0.2"/>
    <row r="176" spans="7:8" ht="26.1" hidden="1" customHeight="1" x14ac:dyDescent="0.2">
      <c r="G176" s="25"/>
      <c r="H176" s="24"/>
    </row>
    <row r="177" ht="26.1" hidden="1" customHeight="1" x14ac:dyDescent="0.2"/>
    <row r="178" ht="12" hidden="1" x14ac:dyDescent="0.2"/>
    <row r="179" ht="12" hidden="1" x14ac:dyDescent="0.2"/>
    <row r="180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FFC4-EE0C-4153-AE18-2AC40F0F4AE3}">
  <dimension ref="A1:M161"/>
  <sheetViews>
    <sheetView zoomScale="70" zoomScaleNormal="70" workbookViewId="0">
      <selection activeCell="A6" sqref="A6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509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510</v>
      </c>
      <c r="C3" s="20" t="s">
        <v>510</v>
      </c>
      <c r="D3" s="6">
        <v>697613.15</v>
      </c>
      <c r="E3" s="4">
        <v>94900</v>
      </c>
      <c r="F3" s="89">
        <v>45338</v>
      </c>
      <c r="G3"/>
    </row>
    <row r="4" spans="1:8" ht="26.1" customHeight="1" x14ac:dyDescent="0.2">
      <c r="A4" s="3">
        <v>2</v>
      </c>
      <c r="B4" s="20" t="s">
        <v>511</v>
      </c>
      <c r="C4" s="20" t="s">
        <v>511</v>
      </c>
      <c r="D4" s="6">
        <v>78800.97</v>
      </c>
      <c r="E4" s="4">
        <v>13245</v>
      </c>
      <c r="F4" s="89">
        <v>45394</v>
      </c>
      <c r="G4"/>
    </row>
    <row r="5" spans="1:8" ht="26.1" customHeight="1" x14ac:dyDescent="0.2">
      <c r="A5" s="3">
        <v>3</v>
      </c>
      <c r="B5" s="20" t="s">
        <v>512</v>
      </c>
      <c r="C5" s="20" t="s">
        <v>512</v>
      </c>
      <c r="D5" s="6">
        <v>68529.67</v>
      </c>
      <c r="E5" s="4">
        <v>10734</v>
      </c>
      <c r="F5" s="89">
        <v>45506</v>
      </c>
      <c r="G5"/>
    </row>
    <row r="6" spans="1:8" ht="26.1" customHeight="1" x14ac:dyDescent="0.2">
      <c r="A6" s="116" t="s">
        <v>34</v>
      </c>
      <c r="B6" s="141" t="s">
        <v>33</v>
      </c>
      <c r="C6" s="141"/>
      <c r="D6" s="144">
        <f>SUBTOTAL(109,CinemaAds[
Pajamos])</f>
        <v>844943.79</v>
      </c>
      <c r="E6" s="145">
        <f>SUBTOTAL(109,CinemaAds[ 
Žiūrovai])</f>
        <v>118879</v>
      </c>
      <c r="F6" s="147"/>
      <c r="G6"/>
    </row>
    <row r="7" spans="1:8" ht="26.1" hidden="1" customHeight="1" x14ac:dyDescent="0.2">
      <c r="A7" s="26"/>
      <c r="B7" s="27"/>
      <c r="C7" s="27"/>
      <c r="D7" s="28"/>
      <c r="E7" s="29"/>
      <c r="F7" s="30"/>
      <c r="G7"/>
    </row>
    <row r="8" spans="1:8" ht="26.1" hidden="1" customHeight="1" x14ac:dyDescent="0.2">
      <c r="E8" s="8"/>
      <c r="F8"/>
      <c r="G8"/>
    </row>
    <row r="9" spans="1:8" ht="26.1" hidden="1" customHeight="1" x14ac:dyDescent="0.2">
      <c r="E9" s="25"/>
      <c r="F9"/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5.5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>
      <c r="G153"/>
    </row>
    <row r="154" spans="7:8" ht="26.1" hidden="1" customHeight="1" x14ac:dyDescent="0.2">
      <c r="G154"/>
    </row>
    <row r="155" spans="7:8" ht="26.1" hidden="1" customHeight="1" x14ac:dyDescent="0.2"/>
    <row r="156" spans="7:8" ht="26.1" hidden="1" customHeight="1" x14ac:dyDescent="0.2"/>
    <row r="157" spans="7:8" ht="26.1" hidden="1" customHeight="1" x14ac:dyDescent="0.2">
      <c r="G157" s="25"/>
      <c r="H157" s="24"/>
    </row>
    <row r="158" spans="7:8" ht="26.1" hidden="1" customHeight="1" x14ac:dyDescent="0.2"/>
    <row r="159" spans="7:8" ht="12" hidden="1" x14ac:dyDescent="0.2"/>
    <row r="160" spans="7:8" ht="12" hidden="1" x14ac:dyDescent="0.2"/>
    <row r="161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CC89-F027-4D26-A0E7-C928472AC0DF}">
  <dimension ref="A1:M181"/>
  <sheetViews>
    <sheetView topLeftCell="A12" zoomScale="70" zoomScaleNormal="70" workbookViewId="0">
      <selection activeCell="A26" sqref="A26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8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367</v>
      </c>
      <c r="C3" s="20" t="s">
        <v>368</v>
      </c>
      <c r="D3" s="6">
        <v>129818.69999999998</v>
      </c>
      <c r="E3" s="4">
        <v>19224</v>
      </c>
      <c r="F3" s="89">
        <v>45562</v>
      </c>
      <c r="G3"/>
    </row>
    <row r="4" spans="1:8" ht="26.1" customHeight="1" x14ac:dyDescent="0.2">
      <c r="A4" s="3">
        <v>2</v>
      </c>
      <c r="B4" s="20" t="s">
        <v>369</v>
      </c>
      <c r="C4" s="20" t="s">
        <v>370</v>
      </c>
      <c r="D4" s="6">
        <v>100228.86</v>
      </c>
      <c r="E4" s="4">
        <v>19296</v>
      </c>
      <c r="F4" s="89">
        <v>45401</v>
      </c>
      <c r="G4"/>
    </row>
    <row r="5" spans="1:8" ht="26.1" customHeight="1" x14ac:dyDescent="0.2">
      <c r="A5" s="3">
        <v>3</v>
      </c>
      <c r="B5" s="20" t="s">
        <v>371</v>
      </c>
      <c r="C5" s="20" t="s">
        <v>372</v>
      </c>
      <c r="D5" s="6">
        <v>93489.4</v>
      </c>
      <c r="E5" s="4">
        <v>13824</v>
      </c>
      <c r="F5" s="89">
        <v>45590</v>
      </c>
      <c r="G5"/>
    </row>
    <row r="6" spans="1:8" ht="26.1" customHeight="1" x14ac:dyDescent="0.2">
      <c r="A6" s="3">
        <v>4</v>
      </c>
      <c r="B6" s="20" t="s">
        <v>373</v>
      </c>
      <c r="C6" s="20" t="s">
        <v>374</v>
      </c>
      <c r="D6" s="6">
        <v>79464.27</v>
      </c>
      <c r="E6" s="4">
        <v>11255</v>
      </c>
      <c r="F6" s="89">
        <v>45618</v>
      </c>
      <c r="G6"/>
    </row>
    <row r="7" spans="1:8" ht="26.1" customHeight="1" x14ac:dyDescent="0.2">
      <c r="A7" s="3">
        <v>5</v>
      </c>
      <c r="B7" s="20" t="s">
        <v>375</v>
      </c>
      <c r="C7" s="20" t="s">
        <v>376</v>
      </c>
      <c r="D7" s="6">
        <v>69789.33</v>
      </c>
      <c r="E7" s="4">
        <v>13713</v>
      </c>
      <c r="F7" s="89">
        <v>45338</v>
      </c>
      <c r="G7"/>
    </row>
    <row r="8" spans="1:8" ht="26.1" customHeight="1" x14ac:dyDescent="0.2">
      <c r="A8" s="3">
        <v>6</v>
      </c>
      <c r="B8" s="20" t="s">
        <v>377</v>
      </c>
      <c r="C8" s="20" t="s">
        <v>378</v>
      </c>
      <c r="D8" s="6">
        <v>46730.770000000004</v>
      </c>
      <c r="E8" s="4">
        <v>9289</v>
      </c>
      <c r="F8" s="89">
        <v>45541</v>
      </c>
      <c r="G8"/>
    </row>
    <row r="9" spans="1:8" ht="26.1" customHeight="1" x14ac:dyDescent="0.2">
      <c r="A9" s="3">
        <v>7</v>
      </c>
      <c r="B9" s="20" t="s">
        <v>379</v>
      </c>
      <c r="C9" s="20" t="s">
        <v>380</v>
      </c>
      <c r="D9" s="6">
        <v>38698.020000000004</v>
      </c>
      <c r="E9" s="4">
        <v>7759</v>
      </c>
      <c r="F9" s="89">
        <v>45499</v>
      </c>
      <c r="G9"/>
    </row>
    <row r="10" spans="1:8" ht="26.1" customHeight="1" x14ac:dyDescent="0.2">
      <c r="A10" s="3">
        <v>8</v>
      </c>
      <c r="B10" s="20" t="s">
        <v>381</v>
      </c>
      <c r="C10" s="20" t="s">
        <v>382</v>
      </c>
      <c r="D10" s="6">
        <v>36827.629999999997</v>
      </c>
      <c r="E10" s="4">
        <v>5398</v>
      </c>
      <c r="F10" s="89">
        <v>45324</v>
      </c>
      <c r="G10"/>
    </row>
    <row r="11" spans="1:8" ht="26.1" customHeight="1" x14ac:dyDescent="0.2">
      <c r="A11" s="3">
        <v>9</v>
      </c>
      <c r="B11" s="20" t="s">
        <v>383</v>
      </c>
      <c r="C11" s="20" t="s">
        <v>384</v>
      </c>
      <c r="D11" s="6">
        <v>27441.1</v>
      </c>
      <c r="E11" s="4">
        <v>5778</v>
      </c>
      <c r="F11" s="89">
        <v>45289</v>
      </c>
      <c r="G11"/>
    </row>
    <row r="12" spans="1:8" ht="26.1" customHeight="1" x14ac:dyDescent="0.2">
      <c r="A12" s="3">
        <v>10</v>
      </c>
      <c r="B12" s="20" t="s">
        <v>385</v>
      </c>
      <c r="C12" s="20" t="s">
        <v>386</v>
      </c>
      <c r="D12" s="6">
        <v>22999.13</v>
      </c>
      <c r="E12" s="4">
        <v>3680</v>
      </c>
      <c r="F12" s="89">
        <v>45464</v>
      </c>
      <c r="G12"/>
    </row>
    <row r="13" spans="1:8" ht="26.1" customHeight="1" x14ac:dyDescent="0.2">
      <c r="A13" s="3">
        <v>11</v>
      </c>
      <c r="B13" s="20" t="s">
        <v>387</v>
      </c>
      <c r="C13" s="20" t="s">
        <v>387</v>
      </c>
      <c r="D13" s="6">
        <v>18265.38</v>
      </c>
      <c r="E13" s="4">
        <v>2798</v>
      </c>
      <c r="F13" s="89">
        <v>45387</v>
      </c>
      <c r="G13"/>
    </row>
    <row r="14" spans="1:8" ht="26.1" customHeight="1" x14ac:dyDescent="0.2">
      <c r="A14" s="3">
        <v>12</v>
      </c>
      <c r="B14" s="20" t="s">
        <v>388</v>
      </c>
      <c r="C14" s="20" t="s">
        <v>389</v>
      </c>
      <c r="D14" s="6">
        <v>15371.07</v>
      </c>
      <c r="E14" s="4">
        <v>2404</v>
      </c>
      <c r="F14" s="89">
        <v>45317</v>
      </c>
      <c r="G14"/>
    </row>
    <row r="15" spans="1:8" ht="26.1" customHeight="1" x14ac:dyDescent="0.2">
      <c r="A15" s="3">
        <v>13</v>
      </c>
      <c r="B15" s="20" t="s">
        <v>390</v>
      </c>
      <c r="C15" s="20" t="s">
        <v>391</v>
      </c>
      <c r="D15" s="6">
        <v>13329.31</v>
      </c>
      <c r="E15" s="4">
        <v>2148</v>
      </c>
      <c r="F15" s="89">
        <v>45359</v>
      </c>
      <c r="G15"/>
    </row>
    <row r="16" spans="1:8" ht="26.1" customHeight="1" x14ac:dyDescent="0.2">
      <c r="A16" s="3">
        <v>14</v>
      </c>
      <c r="B16" s="20" t="s">
        <v>392</v>
      </c>
      <c r="C16" s="20" t="s">
        <v>393</v>
      </c>
      <c r="D16" s="6">
        <v>10113.799999999999</v>
      </c>
      <c r="E16" s="4">
        <v>1459</v>
      </c>
      <c r="F16" s="89">
        <v>45450</v>
      </c>
      <c r="G16"/>
    </row>
    <row r="17" spans="1:7" ht="26.1" customHeight="1" x14ac:dyDescent="0.2">
      <c r="A17" s="3">
        <v>15</v>
      </c>
      <c r="B17" s="20" t="s">
        <v>394</v>
      </c>
      <c r="C17" s="20" t="s">
        <v>395</v>
      </c>
      <c r="D17" s="6">
        <v>9869.15</v>
      </c>
      <c r="E17" s="4">
        <v>1622</v>
      </c>
      <c r="F17" s="89">
        <v>45303</v>
      </c>
      <c r="G17"/>
    </row>
    <row r="18" spans="1:7" ht="26.1" customHeight="1" x14ac:dyDescent="0.2">
      <c r="A18" s="3">
        <v>16</v>
      </c>
      <c r="B18" s="20" t="s">
        <v>396</v>
      </c>
      <c r="C18" s="20" t="s">
        <v>396</v>
      </c>
      <c r="D18" s="6">
        <v>9378.36</v>
      </c>
      <c r="E18" s="4">
        <v>1451</v>
      </c>
      <c r="F18" s="89">
        <v>45583</v>
      </c>
      <c r="G18"/>
    </row>
    <row r="19" spans="1:7" ht="26.1" customHeight="1" x14ac:dyDescent="0.2">
      <c r="A19" s="3">
        <v>17</v>
      </c>
      <c r="B19" s="20" t="s">
        <v>397</v>
      </c>
      <c r="C19" s="20" t="s">
        <v>398</v>
      </c>
      <c r="D19" s="6">
        <v>6881.41</v>
      </c>
      <c r="E19" s="4">
        <v>1583</v>
      </c>
      <c r="F19" s="89">
        <v>45380</v>
      </c>
      <c r="G19"/>
    </row>
    <row r="20" spans="1:7" ht="26.1" customHeight="1" x14ac:dyDescent="0.2">
      <c r="A20" s="3">
        <v>18</v>
      </c>
      <c r="B20" s="20" t="s">
        <v>399</v>
      </c>
      <c r="C20" s="20" t="s">
        <v>400</v>
      </c>
      <c r="D20" s="6">
        <v>1089.5</v>
      </c>
      <c r="E20" s="4">
        <v>489</v>
      </c>
      <c r="F20" s="89">
        <v>44925</v>
      </c>
      <c r="G20"/>
    </row>
    <row r="21" spans="1:7" ht="26.1" customHeight="1" x14ac:dyDescent="0.2">
      <c r="A21" s="3">
        <v>19</v>
      </c>
      <c r="B21" s="20" t="s">
        <v>401</v>
      </c>
      <c r="C21" s="20" t="s">
        <v>402</v>
      </c>
      <c r="D21" s="6">
        <v>1012</v>
      </c>
      <c r="E21" s="4">
        <v>478</v>
      </c>
      <c r="F21" s="89">
        <v>45045</v>
      </c>
      <c r="G21"/>
    </row>
    <row r="22" spans="1:7" ht="26.1" customHeight="1" x14ac:dyDescent="0.2">
      <c r="A22" s="3">
        <v>20</v>
      </c>
      <c r="B22" s="20" t="s">
        <v>403</v>
      </c>
      <c r="C22" s="20" t="s">
        <v>404</v>
      </c>
      <c r="D22" s="6">
        <v>698.5</v>
      </c>
      <c r="E22" s="4">
        <v>301</v>
      </c>
      <c r="F22" s="89">
        <v>45163</v>
      </c>
      <c r="G22"/>
    </row>
    <row r="23" spans="1:7" ht="26.1" customHeight="1" x14ac:dyDescent="0.2">
      <c r="A23" s="3">
        <v>21</v>
      </c>
      <c r="B23" s="20" t="s">
        <v>405</v>
      </c>
      <c r="C23" s="20" t="s">
        <v>406</v>
      </c>
      <c r="D23" s="6">
        <v>503.3</v>
      </c>
      <c r="E23" s="4">
        <v>242</v>
      </c>
      <c r="F23" s="89">
        <v>44981</v>
      </c>
      <c r="G23"/>
    </row>
    <row r="24" spans="1:7" ht="26.1" customHeight="1" x14ac:dyDescent="0.2">
      <c r="A24" s="3">
        <v>22</v>
      </c>
      <c r="B24" s="20" t="s">
        <v>407</v>
      </c>
      <c r="C24" s="20" t="s">
        <v>408</v>
      </c>
      <c r="D24" s="6">
        <v>182</v>
      </c>
      <c r="E24" s="4">
        <v>32</v>
      </c>
      <c r="F24" s="89">
        <v>45198</v>
      </c>
      <c r="G24"/>
    </row>
    <row r="25" spans="1:7" ht="26.1" customHeight="1" x14ac:dyDescent="0.2">
      <c r="A25" s="3">
        <v>23</v>
      </c>
      <c r="B25" s="20" t="s">
        <v>409</v>
      </c>
      <c r="C25" s="20" t="s">
        <v>410</v>
      </c>
      <c r="D25" s="6">
        <v>122</v>
      </c>
      <c r="E25" s="4">
        <v>26</v>
      </c>
      <c r="F25" s="89">
        <v>43448</v>
      </c>
      <c r="G25"/>
    </row>
    <row r="26" spans="1:7" ht="26.1" customHeight="1" x14ac:dyDescent="0.2">
      <c r="A26" s="116" t="s">
        <v>34</v>
      </c>
      <c r="B26" s="141" t="s">
        <v>33</v>
      </c>
      <c r="C26" s="141"/>
      <c r="D26" s="144">
        <f>SUBTOTAL(109,Table356789[
Pajamos])</f>
        <v>732302.99000000011</v>
      </c>
      <c r="E26" s="145">
        <f>SUBTOTAL(109,Table356789[ 
Žiūrovai])</f>
        <v>124249</v>
      </c>
      <c r="F26" s="147"/>
      <c r="G26"/>
    </row>
    <row r="27" spans="1:7" ht="26.1" hidden="1" customHeight="1" x14ac:dyDescent="0.2">
      <c r="A27" s="26"/>
      <c r="B27" s="27"/>
      <c r="C27" s="27"/>
      <c r="D27" s="28"/>
      <c r="E27" s="29"/>
      <c r="F27" s="30"/>
      <c r="G27"/>
    </row>
    <row r="28" spans="1:7" ht="26.1" hidden="1" customHeight="1" x14ac:dyDescent="0.2">
      <c r="E28" s="8"/>
      <c r="F28"/>
      <c r="G28"/>
    </row>
    <row r="29" spans="1:7" ht="26.1" hidden="1" customHeight="1" x14ac:dyDescent="0.2">
      <c r="E29" s="25"/>
      <c r="F29"/>
      <c r="G29"/>
    </row>
    <row r="30" spans="1:7" ht="26.1" hidden="1" customHeight="1" x14ac:dyDescent="0.2">
      <c r="G30"/>
    </row>
    <row r="31" spans="1:7" ht="26.1" hidden="1" customHeight="1" x14ac:dyDescent="0.2"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5.5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/>
    <row r="176" spans="7:7" ht="26.1" hidden="1" customHeight="1" x14ac:dyDescent="0.2"/>
    <row r="177" spans="7:8" ht="26.1" hidden="1" customHeight="1" x14ac:dyDescent="0.2">
      <c r="G177" s="25"/>
      <c r="H177" s="24"/>
    </row>
    <row r="178" spans="7:8" ht="26.1" hidden="1" customHeight="1" x14ac:dyDescent="0.2"/>
    <row r="179" spans="7:8" ht="12" hidden="1" x14ac:dyDescent="0.2"/>
    <row r="180" spans="7:8" ht="12" hidden="1" x14ac:dyDescent="0.2"/>
    <row r="181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4193-AB52-458E-BE88-332BACB297C6}">
  <dimension ref="A1:M149"/>
  <sheetViews>
    <sheetView topLeftCell="A2" zoomScale="70" zoomScaleNormal="70" workbookViewId="0">
      <selection activeCell="C11" sqref="C11"/>
    </sheetView>
  </sheetViews>
  <sheetFormatPr defaultColWidth="0" defaultRowHeight="0" customHeight="1" zeroHeight="1" x14ac:dyDescent="0.2"/>
  <cols>
    <col min="1" max="1" width="15.7109375" style="101" customWidth="1"/>
    <col min="2" max="3" width="35.5703125" style="152" customWidth="1"/>
    <col min="4" max="4" width="35.5703125" style="153" customWidth="1"/>
    <col min="5" max="5" width="35.5703125" style="157" customWidth="1"/>
    <col min="6" max="6" width="35.5703125" style="155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20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85" t="s">
        <v>42</v>
      </c>
      <c r="G2"/>
    </row>
    <row r="3" spans="1:8" ht="26.1" customHeight="1" x14ac:dyDescent="0.2">
      <c r="A3" s="3">
        <v>1</v>
      </c>
      <c r="B3" s="20" t="s">
        <v>645</v>
      </c>
      <c r="C3" s="20" t="s">
        <v>646</v>
      </c>
      <c r="D3" s="6">
        <v>91706</v>
      </c>
      <c r="E3" s="4">
        <v>17440</v>
      </c>
      <c r="F3" s="89">
        <v>45604</v>
      </c>
      <c r="G3"/>
    </row>
    <row r="4" spans="1:8" ht="26.1" customHeight="1" x14ac:dyDescent="0.2">
      <c r="A4" s="3">
        <v>2</v>
      </c>
      <c r="B4" s="20" t="s">
        <v>647</v>
      </c>
      <c r="C4" s="20" t="s">
        <v>648</v>
      </c>
      <c r="D4" s="6">
        <v>55890</v>
      </c>
      <c r="E4" s="4">
        <v>11172</v>
      </c>
      <c r="F4" s="89">
        <v>45639</v>
      </c>
      <c r="G4"/>
    </row>
    <row r="5" spans="1:8" ht="26.1" customHeight="1" x14ac:dyDescent="0.2">
      <c r="A5" s="3">
        <v>3</v>
      </c>
      <c r="B5" s="20" t="s">
        <v>649</v>
      </c>
      <c r="C5" s="20" t="s">
        <v>650</v>
      </c>
      <c r="D5" s="6">
        <v>53996</v>
      </c>
      <c r="E5" s="4">
        <v>10509</v>
      </c>
      <c r="F5" s="89">
        <v>45576</v>
      </c>
      <c r="G5"/>
    </row>
    <row r="6" spans="1:8" ht="26.1" customHeight="1" x14ac:dyDescent="0.2">
      <c r="A6" s="3">
        <v>4</v>
      </c>
      <c r="B6" s="20" t="s">
        <v>651</v>
      </c>
      <c r="C6" s="20" t="s">
        <v>652</v>
      </c>
      <c r="D6" s="6">
        <v>43738</v>
      </c>
      <c r="E6" s="4">
        <v>6839</v>
      </c>
      <c r="F6" s="89">
        <v>45345</v>
      </c>
      <c r="G6"/>
    </row>
    <row r="7" spans="1:8" ht="26.1" customHeight="1" x14ac:dyDescent="0.2">
      <c r="A7" s="3">
        <v>5</v>
      </c>
      <c r="B7" s="20" t="s">
        <v>653</v>
      </c>
      <c r="C7" s="20" t="s">
        <v>654</v>
      </c>
      <c r="D7" s="6">
        <v>39976</v>
      </c>
      <c r="E7" s="4">
        <v>5758</v>
      </c>
      <c r="F7" s="89">
        <v>45632</v>
      </c>
      <c r="G7"/>
    </row>
    <row r="8" spans="1:8" ht="26.1" customHeight="1" x14ac:dyDescent="0.2">
      <c r="A8" s="3">
        <v>6</v>
      </c>
      <c r="B8" s="20" t="s">
        <v>655</v>
      </c>
      <c r="C8" s="20" t="s">
        <v>656</v>
      </c>
      <c r="D8" s="6">
        <v>32976</v>
      </c>
      <c r="E8" s="4">
        <v>4814</v>
      </c>
      <c r="F8" s="89">
        <v>45478</v>
      </c>
      <c r="G8"/>
    </row>
    <row r="9" spans="1:8" ht="26.1" customHeight="1" x14ac:dyDescent="0.2">
      <c r="A9" s="3">
        <v>7</v>
      </c>
      <c r="B9" s="20" t="s">
        <v>657</v>
      </c>
      <c r="C9" s="20" t="s">
        <v>658</v>
      </c>
      <c r="D9" s="6">
        <v>25368</v>
      </c>
      <c r="E9" s="4">
        <v>5216</v>
      </c>
      <c r="F9" s="89">
        <v>45394</v>
      </c>
      <c r="G9"/>
    </row>
    <row r="10" spans="1:8" ht="26.1" customHeight="1" x14ac:dyDescent="0.2">
      <c r="A10" s="3">
        <v>8</v>
      </c>
      <c r="B10" s="20" t="s">
        <v>659</v>
      </c>
      <c r="C10" s="20" t="s">
        <v>660</v>
      </c>
      <c r="D10" s="6">
        <v>18629</v>
      </c>
      <c r="E10" s="4">
        <v>2947</v>
      </c>
      <c r="F10" s="89">
        <v>45471</v>
      </c>
      <c r="G10"/>
    </row>
    <row r="11" spans="1:8" ht="26.1" customHeight="1" x14ac:dyDescent="0.2">
      <c r="A11" s="3">
        <v>9</v>
      </c>
      <c r="B11" s="20" t="s">
        <v>661</v>
      </c>
      <c r="C11" s="20" t="s">
        <v>662</v>
      </c>
      <c r="D11" s="6">
        <v>16573</v>
      </c>
      <c r="E11" s="4">
        <v>2668</v>
      </c>
      <c r="F11" s="89">
        <v>45562</v>
      </c>
      <c r="G11"/>
    </row>
    <row r="12" spans="1:8" ht="26.1" customHeight="1" x14ac:dyDescent="0.2">
      <c r="A12" s="3">
        <v>10</v>
      </c>
      <c r="B12" s="20" t="s">
        <v>663</v>
      </c>
      <c r="C12" s="20" t="s">
        <v>664</v>
      </c>
      <c r="D12" s="6">
        <v>15756</v>
      </c>
      <c r="E12" s="4">
        <v>3321</v>
      </c>
      <c r="F12" s="89">
        <v>45527</v>
      </c>
      <c r="G12"/>
    </row>
    <row r="13" spans="1:8" ht="26.1" customHeight="1" x14ac:dyDescent="0.2">
      <c r="A13" s="3">
        <v>11</v>
      </c>
      <c r="B13" s="20" t="s">
        <v>665</v>
      </c>
      <c r="C13" s="20" t="s">
        <v>666</v>
      </c>
      <c r="D13" s="6">
        <v>14535</v>
      </c>
      <c r="E13" s="4">
        <v>2286</v>
      </c>
      <c r="F13" s="89">
        <v>45576</v>
      </c>
      <c r="G13"/>
    </row>
    <row r="14" spans="1:8" ht="26.1" customHeight="1" x14ac:dyDescent="0.2">
      <c r="A14" s="3">
        <v>12</v>
      </c>
      <c r="B14" s="20" t="s">
        <v>667</v>
      </c>
      <c r="C14" s="20" t="s">
        <v>668</v>
      </c>
      <c r="D14" s="6">
        <v>10991</v>
      </c>
      <c r="E14" s="4">
        <v>2374</v>
      </c>
      <c r="F14" s="89">
        <v>45492</v>
      </c>
      <c r="G14"/>
    </row>
    <row r="15" spans="1:8" ht="26.1" customHeight="1" x14ac:dyDescent="0.2">
      <c r="A15" s="3">
        <v>13</v>
      </c>
      <c r="B15" s="20" t="s">
        <v>669</v>
      </c>
      <c r="C15" s="20" t="s">
        <v>670</v>
      </c>
      <c r="D15" s="6">
        <v>9113</v>
      </c>
      <c r="E15" s="4">
        <v>1611</v>
      </c>
      <c r="F15" s="89">
        <v>45429</v>
      </c>
      <c r="G15"/>
    </row>
    <row r="16" spans="1:8" ht="26.1" customHeight="1" x14ac:dyDescent="0.2">
      <c r="A16" s="3">
        <v>14</v>
      </c>
      <c r="B16" s="20" t="s">
        <v>671</v>
      </c>
      <c r="C16" s="20" t="s">
        <v>672</v>
      </c>
      <c r="D16" s="6">
        <v>7585</v>
      </c>
      <c r="E16" s="4">
        <v>1692</v>
      </c>
      <c r="F16" s="89">
        <v>45548</v>
      </c>
      <c r="G16"/>
    </row>
    <row r="17" spans="1:7" ht="26.1" customHeight="1" x14ac:dyDescent="0.2">
      <c r="A17" s="3">
        <v>15</v>
      </c>
      <c r="B17" s="20" t="s">
        <v>673</v>
      </c>
      <c r="C17" s="20" t="s">
        <v>674</v>
      </c>
      <c r="D17" s="6">
        <v>7183</v>
      </c>
      <c r="E17" s="4">
        <v>1190</v>
      </c>
      <c r="F17" s="89">
        <v>45499</v>
      </c>
      <c r="G17"/>
    </row>
    <row r="18" spans="1:7" ht="26.1" customHeight="1" x14ac:dyDescent="0.2">
      <c r="A18" s="3">
        <v>16</v>
      </c>
      <c r="B18" s="20" t="s">
        <v>675</v>
      </c>
      <c r="C18" s="20" t="s">
        <v>676</v>
      </c>
      <c r="D18" s="6">
        <v>6916</v>
      </c>
      <c r="E18" s="4">
        <v>1097</v>
      </c>
      <c r="F18" s="89">
        <v>45415</v>
      </c>
      <c r="G18"/>
    </row>
    <row r="19" spans="1:7" ht="26.1" customHeight="1" x14ac:dyDescent="0.2">
      <c r="A19" s="3">
        <v>17</v>
      </c>
      <c r="B19" s="20" t="s">
        <v>677</v>
      </c>
      <c r="C19" s="20" t="s">
        <v>678</v>
      </c>
      <c r="D19" s="6">
        <v>6468</v>
      </c>
      <c r="E19" s="4">
        <v>1064</v>
      </c>
      <c r="F19" s="89">
        <v>45534</v>
      </c>
      <c r="G19"/>
    </row>
    <row r="20" spans="1:7" ht="26.1" customHeight="1" x14ac:dyDescent="0.2">
      <c r="A20" s="3">
        <v>18</v>
      </c>
      <c r="B20" s="20" t="s">
        <v>679</v>
      </c>
      <c r="C20" s="20" t="s">
        <v>679</v>
      </c>
      <c r="D20" s="6">
        <v>5711.4</v>
      </c>
      <c r="E20" s="4">
        <v>1097</v>
      </c>
      <c r="F20" s="89">
        <v>45387</v>
      </c>
      <c r="G20"/>
    </row>
    <row r="21" spans="1:7" ht="26.1" customHeight="1" x14ac:dyDescent="0.2">
      <c r="A21" s="3">
        <v>19</v>
      </c>
      <c r="B21" s="20" t="s">
        <v>680</v>
      </c>
      <c r="C21" s="20" t="s">
        <v>681</v>
      </c>
      <c r="D21" s="6">
        <v>4916</v>
      </c>
      <c r="E21" s="4">
        <v>743</v>
      </c>
      <c r="F21" s="89">
        <v>45443</v>
      </c>
      <c r="G21"/>
    </row>
    <row r="22" spans="1:7" ht="26.1" customHeight="1" x14ac:dyDescent="0.2">
      <c r="A22" s="3">
        <v>20</v>
      </c>
      <c r="B22" s="20" t="s">
        <v>682</v>
      </c>
      <c r="C22" s="20" t="s">
        <v>683</v>
      </c>
      <c r="D22" s="6">
        <v>3888</v>
      </c>
      <c r="E22" s="4">
        <v>576</v>
      </c>
      <c r="F22" s="89">
        <v>45590</v>
      </c>
      <c r="G22"/>
    </row>
    <row r="23" spans="1:7" ht="26.1" customHeight="1" x14ac:dyDescent="0.2">
      <c r="A23" s="3">
        <v>21</v>
      </c>
      <c r="B23" s="20" t="s">
        <v>684</v>
      </c>
      <c r="C23" s="20" t="s">
        <v>685</v>
      </c>
      <c r="D23" s="6">
        <v>3053</v>
      </c>
      <c r="E23" s="4">
        <v>472</v>
      </c>
      <c r="F23" s="89">
        <v>45618</v>
      </c>
      <c r="G23"/>
    </row>
    <row r="24" spans="1:7" ht="26.1" customHeight="1" x14ac:dyDescent="0.2">
      <c r="A24" s="3">
        <v>22</v>
      </c>
      <c r="B24" s="20" t="s">
        <v>686</v>
      </c>
      <c r="C24" s="20" t="s">
        <v>687</v>
      </c>
      <c r="D24" s="6">
        <v>2124</v>
      </c>
      <c r="E24" s="4">
        <v>422</v>
      </c>
      <c r="F24" s="89">
        <v>45268</v>
      </c>
      <c r="G24"/>
    </row>
    <row r="25" spans="1:7" ht="26.1" customHeight="1" x14ac:dyDescent="0.2">
      <c r="A25" s="3">
        <v>23</v>
      </c>
      <c r="B25" s="20" t="s">
        <v>688</v>
      </c>
      <c r="C25" s="20" t="s">
        <v>689</v>
      </c>
      <c r="D25" s="6">
        <v>2017</v>
      </c>
      <c r="E25" s="4">
        <v>302</v>
      </c>
      <c r="F25" s="89">
        <v>45583</v>
      </c>
      <c r="G25"/>
    </row>
    <row r="26" spans="1:7" ht="26.1" customHeight="1" x14ac:dyDescent="0.2">
      <c r="A26" s="3">
        <v>24</v>
      </c>
      <c r="B26" s="20" t="s">
        <v>690</v>
      </c>
      <c r="C26" s="20" t="s">
        <v>691</v>
      </c>
      <c r="D26" s="6">
        <v>1663</v>
      </c>
      <c r="E26" s="4">
        <v>306</v>
      </c>
      <c r="F26" s="89">
        <v>45485</v>
      </c>
      <c r="G26"/>
    </row>
    <row r="27" spans="1:7" ht="26.1" customHeight="1" x14ac:dyDescent="0.2">
      <c r="A27" s="3">
        <v>25</v>
      </c>
      <c r="B27" s="20" t="s">
        <v>692</v>
      </c>
      <c r="C27" s="20" t="s">
        <v>693</v>
      </c>
      <c r="D27" s="6">
        <v>232</v>
      </c>
      <c r="E27" s="4">
        <v>33</v>
      </c>
      <c r="F27" s="89">
        <v>45275</v>
      </c>
      <c r="G27"/>
    </row>
    <row r="28" spans="1:7" ht="26.1" customHeight="1" x14ac:dyDescent="0.2">
      <c r="A28" s="116"/>
      <c r="B28" s="141" t="s">
        <v>33</v>
      </c>
      <c r="C28" s="141"/>
      <c r="D28" s="144">
        <f>SUBTOTAL(109,GPI[
Pajamos])</f>
        <v>481003.4</v>
      </c>
      <c r="E28" s="145">
        <f>SUBTOTAL(109,GPI[ 
Žiūrovai])</f>
        <v>85949</v>
      </c>
      <c r="F28" s="146"/>
      <c r="G28"/>
    </row>
    <row r="29" spans="1:7" ht="26.1" hidden="1" customHeight="1" x14ac:dyDescent="0.2">
      <c r="A29" s="148"/>
      <c r="B29" s="117"/>
      <c r="C29" s="117"/>
      <c r="D29" s="149"/>
      <c r="E29" s="150"/>
      <c r="F29" s="151"/>
      <c r="G29"/>
    </row>
    <row r="30" spans="1:7" ht="26.1" hidden="1" customHeight="1" x14ac:dyDescent="0.2">
      <c r="E30" s="154"/>
      <c r="G30"/>
    </row>
    <row r="31" spans="1:7" ht="26.1" hidden="1" customHeight="1" x14ac:dyDescent="0.2">
      <c r="E31" s="156"/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/>
    <row r="144" spans="7:7" ht="26.1" hidden="1" customHeight="1" x14ac:dyDescent="0.2"/>
    <row r="145" spans="7:8" ht="26.1" hidden="1" customHeight="1" x14ac:dyDescent="0.2">
      <c r="G145" s="25"/>
      <c r="H145" s="24"/>
    </row>
    <row r="146" spans="7:8" ht="26.1" hidden="1" customHeight="1" x14ac:dyDescent="0.2"/>
    <row r="147" spans="7:8" ht="12" hidden="1" x14ac:dyDescent="0.2"/>
    <row r="148" spans="7:8" ht="12" hidden="1" x14ac:dyDescent="0.2"/>
    <row r="14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3A9D-6934-4DD9-B609-BF138E148410}">
  <dimension ref="A1:M193"/>
  <sheetViews>
    <sheetView topLeftCell="A29" zoomScale="70" zoomScaleNormal="70" workbookViewId="0">
      <selection activeCell="C45" sqref="C45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18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477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555</v>
      </c>
      <c r="C3" s="20" t="s">
        <v>555</v>
      </c>
      <c r="D3" s="6">
        <v>75235.360000000001</v>
      </c>
      <c r="E3" s="4">
        <v>11786</v>
      </c>
      <c r="F3" s="93">
        <v>45303</v>
      </c>
      <c r="G3"/>
    </row>
    <row r="4" spans="1:8" ht="26.1" customHeight="1" x14ac:dyDescent="0.2">
      <c r="A4" s="3">
        <v>2</v>
      </c>
      <c r="B4" s="20" t="s">
        <v>556</v>
      </c>
      <c r="C4" s="20" t="s">
        <v>557</v>
      </c>
      <c r="D4" s="6">
        <v>69519.699999999983</v>
      </c>
      <c r="E4" s="4">
        <v>10756</v>
      </c>
      <c r="F4" s="93">
        <v>45379</v>
      </c>
      <c r="G4"/>
    </row>
    <row r="5" spans="1:8" ht="26.1" customHeight="1" x14ac:dyDescent="0.2">
      <c r="A5" s="3">
        <v>3</v>
      </c>
      <c r="B5" s="20" t="s">
        <v>558</v>
      </c>
      <c r="C5" s="20" t="s">
        <v>559</v>
      </c>
      <c r="D5" s="6">
        <v>62669.279999999999</v>
      </c>
      <c r="E5" s="4">
        <v>10007</v>
      </c>
      <c r="F5" s="93">
        <v>45379</v>
      </c>
      <c r="G5"/>
    </row>
    <row r="6" spans="1:8" ht="26.1" customHeight="1" x14ac:dyDescent="0.2">
      <c r="A6" s="3">
        <v>4</v>
      </c>
      <c r="B6" s="20" t="s">
        <v>560</v>
      </c>
      <c r="C6" s="20" t="s">
        <v>561</v>
      </c>
      <c r="D6" s="6">
        <v>38543.89</v>
      </c>
      <c r="E6" s="4">
        <v>4118</v>
      </c>
      <c r="F6" s="93">
        <v>45379</v>
      </c>
      <c r="G6"/>
    </row>
    <row r="7" spans="1:8" ht="26.1" customHeight="1" x14ac:dyDescent="0.2">
      <c r="A7" s="3">
        <v>5</v>
      </c>
      <c r="B7" s="20" t="s">
        <v>562</v>
      </c>
      <c r="C7" s="20" t="s">
        <v>563</v>
      </c>
      <c r="D7" s="6">
        <v>26819.8</v>
      </c>
      <c r="E7" s="4">
        <v>1877</v>
      </c>
      <c r="F7" s="93">
        <v>45379</v>
      </c>
      <c r="G7"/>
    </row>
    <row r="8" spans="1:8" ht="26.1" customHeight="1" x14ac:dyDescent="0.2">
      <c r="A8" s="3">
        <v>6</v>
      </c>
      <c r="B8" s="20" t="s">
        <v>564</v>
      </c>
      <c r="C8" s="20" t="s">
        <v>565</v>
      </c>
      <c r="D8" s="6">
        <v>25076.97</v>
      </c>
      <c r="E8" s="4">
        <v>4211</v>
      </c>
      <c r="F8" s="93">
        <v>45345</v>
      </c>
      <c r="G8"/>
    </row>
    <row r="9" spans="1:8" ht="26.1" customHeight="1" x14ac:dyDescent="0.2">
      <c r="A9" s="3">
        <v>7</v>
      </c>
      <c r="B9" s="20" t="s">
        <v>566</v>
      </c>
      <c r="C9" s="20" t="s">
        <v>567</v>
      </c>
      <c r="D9" s="6">
        <v>22066.2</v>
      </c>
      <c r="E9" s="4">
        <v>2338</v>
      </c>
      <c r="F9" s="93">
        <v>45379</v>
      </c>
      <c r="G9"/>
    </row>
    <row r="10" spans="1:8" ht="26.1" customHeight="1" x14ac:dyDescent="0.2">
      <c r="A10" s="3">
        <v>8</v>
      </c>
      <c r="B10" s="20" t="s">
        <v>568</v>
      </c>
      <c r="C10" s="20" t="s">
        <v>569</v>
      </c>
      <c r="D10" s="6">
        <v>18233.52</v>
      </c>
      <c r="E10" s="4">
        <v>2866</v>
      </c>
      <c r="F10" s="93">
        <v>45331</v>
      </c>
      <c r="G10"/>
    </row>
    <row r="11" spans="1:8" ht="26.1" customHeight="1" x14ac:dyDescent="0.2">
      <c r="A11" s="3">
        <v>9</v>
      </c>
      <c r="B11" s="20" t="s">
        <v>570</v>
      </c>
      <c r="C11" s="20" t="s">
        <v>571</v>
      </c>
      <c r="D11" s="6">
        <v>14398.4</v>
      </c>
      <c r="E11" s="4">
        <v>2165</v>
      </c>
      <c r="F11" s="93">
        <v>45254</v>
      </c>
      <c r="G11"/>
    </row>
    <row r="12" spans="1:8" ht="26.1" customHeight="1" x14ac:dyDescent="0.2">
      <c r="A12" s="3">
        <v>10</v>
      </c>
      <c r="B12" s="20" t="s">
        <v>69</v>
      </c>
      <c r="C12" s="20" t="s">
        <v>69</v>
      </c>
      <c r="D12" s="6">
        <v>11191.26</v>
      </c>
      <c r="E12" s="4">
        <v>1779</v>
      </c>
      <c r="F12" s="93">
        <v>45191</v>
      </c>
      <c r="G12"/>
    </row>
    <row r="13" spans="1:8" ht="26.1" customHeight="1" x14ac:dyDescent="0.2">
      <c r="A13" s="3">
        <v>11</v>
      </c>
      <c r="B13" s="20" t="s">
        <v>572</v>
      </c>
      <c r="C13" s="20" t="s">
        <v>573</v>
      </c>
      <c r="D13" s="6">
        <v>9118.2000000000007</v>
      </c>
      <c r="E13" s="4">
        <v>1274</v>
      </c>
      <c r="F13" s="93">
        <v>45275</v>
      </c>
      <c r="G13"/>
    </row>
    <row r="14" spans="1:8" ht="26.1" customHeight="1" x14ac:dyDescent="0.2">
      <c r="A14" s="3">
        <v>12</v>
      </c>
      <c r="B14" s="20" t="s">
        <v>574</v>
      </c>
      <c r="C14" s="20" t="s">
        <v>575</v>
      </c>
      <c r="D14" s="6">
        <v>8059.0599999999986</v>
      </c>
      <c r="E14" s="4">
        <v>1487</v>
      </c>
      <c r="F14" s="93">
        <v>45429</v>
      </c>
      <c r="G14"/>
    </row>
    <row r="15" spans="1:8" ht="26.1" customHeight="1" x14ac:dyDescent="0.2">
      <c r="A15" s="3">
        <v>13</v>
      </c>
      <c r="B15" s="20" t="s">
        <v>576</v>
      </c>
      <c r="C15" s="20" t="s">
        <v>577</v>
      </c>
      <c r="D15" s="6">
        <v>7375.9299999999994</v>
      </c>
      <c r="E15" s="4">
        <v>667</v>
      </c>
      <c r="F15" s="93">
        <v>45379</v>
      </c>
      <c r="G15"/>
    </row>
    <row r="16" spans="1:8" ht="26.1" customHeight="1" x14ac:dyDescent="0.2">
      <c r="A16" s="3">
        <v>14</v>
      </c>
      <c r="B16" s="20" t="s">
        <v>578</v>
      </c>
      <c r="C16" s="20" t="s">
        <v>579</v>
      </c>
      <c r="D16" s="6">
        <v>7374.17</v>
      </c>
      <c r="E16" s="4">
        <v>1472</v>
      </c>
      <c r="F16" s="93">
        <v>45555</v>
      </c>
      <c r="G16"/>
    </row>
    <row r="17" spans="1:7" ht="26.1" customHeight="1" x14ac:dyDescent="0.2">
      <c r="A17" s="3">
        <v>15</v>
      </c>
      <c r="B17" s="20" t="s">
        <v>580</v>
      </c>
      <c r="C17" s="20" t="s">
        <v>581</v>
      </c>
      <c r="D17" s="6">
        <v>6823.75</v>
      </c>
      <c r="E17" s="4">
        <v>1235</v>
      </c>
      <c r="F17" s="93">
        <v>45379</v>
      </c>
      <c r="G17"/>
    </row>
    <row r="18" spans="1:7" ht="26.1" customHeight="1" x14ac:dyDescent="0.2">
      <c r="A18" s="3">
        <v>16</v>
      </c>
      <c r="B18" s="20" t="s">
        <v>582</v>
      </c>
      <c r="C18" s="20" t="s">
        <v>583</v>
      </c>
      <c r="D18" s="6">
        <v>4800.1000000000004</v>
      </c>
      <c r="E18" s="4">
        <v>814</v>
      </c>
      <c r="F18" s="93">
        <v>45583</v>
      </c>
      <c r="G18"/>
    </row>
    <row r="19" spans="1:7" ht="26.1" customHeight="1" x14ac:dyDescent="0.2">
      <c r="A19" s="3">
        <v>17</v>
      </c>
      <c r="B19" s="20" t="s">
        <v>584</v>
      </c>
      <c r="C19" s="20" t="s">
        <v>585</v>
      </c>
      <c r="D19" s="6">
        <v>3940.7</v>
      </c>
      <c r="E19" s="4">
        <v>611</v>
      </c>
      <c r="F19" s="93">
        <v>45639</v>
      </c>
      <c r="G19"/>
    </row>
    <row r="20" spans="1:7" ht="26.1" customHeight="1" x14ac:dyDescent="0.2">
      <c r="A20" s="3">
        <v>18</v>
      </c>
      <c r="B20" s="20" t="s">
        <v>586</v>
      </c>
      <c r="C20" s="20" t="s">
        <v>587</v>
      </c>
      <c r="D20" s="6">
        <v>3748.4399999999996</v>
      </c>
      <c r="E20" s="4">
        <v>643</v>
      </c>
      <c r="F20" s="93">
        <v>45379</v>
      </c>
      <c r="G20"/>
    </row>
    <row r="21" spans="1:7" ht="26.1" customHeight="1" x14ac:dyDescent="0.2">
      <c r="A21" s="3">
        <v>19</v>
      </c>
      <c r="B21" s="20" t="s">
        <v>588</v>
      </c>
      <c r="C21" s="20" t="s">
        <v>589</v>
      </c>
      <c r="D21" s="6">
        <v>3588.33</v>
      </c>
      <c r="E21" s="4">
        <v>643</v>
      </c>
      <c r="F21" s="93">
        <v>45379</v>
      </c>
      <c r="G21"/>
    </row>
    <row r="22" spans="1:7" ht="26.1" customHeight="1" x14ac:dyDescent="0.2">
      <c r="A22" s="3">
        <v>20</v>
      </c>
      <c r="B22" s="20" t="s">
        <v>590</v>
      </c>
      <c r="C22" s="20" t="s">
        <v>591</v>
      </c>
      <c r="D22" s="6">
        <v>3577.5</v>
      </c>
      <c r="E22" s="4">
        <v>874</v>
      </c>
      <c r="F22" s="93">
        <v>45282</v>
      </c>
      <c r="G22"/>
    </row>
    <row r="23" spans="1:7" ht="26.1" customHeight="1" x14ac:dyDescent="0.2">
      <c r="A23" s="3">
        <v>21</v>
      </c>
      <c r="B23" s="20" t="s">
        <v>592</v>
      </c>
      <c r="C23" s="20" t="s">
        <v>593</v>
      </c>
      <c r="D23" s="6">
        <v>3549.7</v>
      </c>
      <c r="E23" s="4">
        <v>510</v>
      </c>
      <c r="F23" s="93">
        <v>45379</v>
      </c>
      <c r="G23"/>
    </row>
    <row r="24" spans="1:7" ht="26.1" customHeight="1" x14ac:dyDescent="0.2">
      <c r="A24" s="3">
        <v>22</v>
      </c>
      <c r="B24" s="20" t="s">
        <v>594</v>
      </c>
      <c r="C24" s="20" t="s">
        <v>595</v>
      </c>
      <c r="D24" s="6">
        <v>3373</v>
      </c>
      <c r="E24" s="4">
        <v>262</v>
      </c>
      <c r="F24" s="93" t="s">
        <v>50</v>
      </c>
      <c r="G24"/>
    </row>
    <row r="25" spans="1:7" ht="26.1" customHeight="1" x14ac:dyDescent="0.2">
      <c r="A25" s="3">
        <v>23</v>
      </c>
      <c r="B25" s="20" t="s">
        <v>596</v>
      </c>
      <c r="C25" s="20" t="s">
        <v>596</v>
      </c>
      <c r="D25" s="6">
        <v>3142.4000000000005</v>
      </c>
      <c r="E25" s="4">
        <v>582</v>
      </c>
      <c r="F25" s="93">
        <v>45379</v>
      </c>
      <c r="G25"/>
    </row>
    <row r="26" spans="1:7" ht="26.1" customHeight="1" x14ac:dyDescent="0.2">
      <c r="A26" s="3">
        <v>24</v>
      </c>
      <c r="B26" s="20" t="s">
        <v>597</v>
      </c>
      <c r="C26" s="20" t="s">
        <v>598</v>
      </c>
      <c r="D26" s="6">
        <v>2982.1</v>
      </c>
      <c r="E26" s="4">
        <v>510</v>
      </c>
      <c r="F26" s="93">
        <v>45379</v>
      </c>
      <c r="G26"/>
    </row>
    <row r="27" spans="1:7" ht="26.1" customHeight="1" x14ac:dyDescent="0.2">
      <c r="A27" s="3">
        <v>25</v>
      </c>
      <c r="B27" s="20" t="s">
        <v>599</v>
      </c>
      <c r="C27" s="20" t="s">
        <v>599</v>
      </c>
      <c r="D27" s="6">
        <v>2648.88</v>
      </c>
      <c r="E27" s="4">
        <v>669</v>
      </c>
      <c r="F27" s="93">
        <v>44834</v>
      </c>
      <c r="G27"/>
    </row>
    <row r="28" spans="1:7" ht="26.1" customHeight="1" x14ac:dyDescent="0.2">
      <c r="A28" s="3">
        <v>26</v>
      </c>
      <c r="B28" s="20" t="s">
        <v>600</v>
      </c>
      <c r="C28" s="20" t="s">
        <v>601</v>
      </c>
      <c r="D28" s="6">
        <v>2619.8000000000002</v>
      </c>
      <c r="E28" s="4">
        <v>455</v>
      </c>
      <c r="F28" s="93">
        <v>45379</v>
      </c>
      <c r="G28"/>
    </row>
    <row r="29" spans="1:7" ht="26.1" customHeight="1" x14ac:dyDescent="0.2">
      <c r="A29" s="3">
        <v>27</v>
      </c>
      <c r="B29" s="20" t="s">
        <v>602</v>
      </c>
      <c r="C29" s="20" t="s">
        <v>603</v>
      </c>
      <c r="D29" s="6">
        <v>1352.04</v>
      </c>
      <c r="E29" s="4">
        <v>326</v>
      </c>
      <c r="F29" s="93">
        <v>44967</v>
      </c>
      <c r="G29"/>
    </row>
    <row r="30" spans="1:7" ht="26.1" customHeight="1" x14ac:dyDescent="0.2">
      <c r="A30" s="3">
        <v>28</v>
      </c>
      <c r="B30" s="20" t="s">
        <v>604</v>
      </c>
      <c r="C30" s="20" t="s">
        <v>605</v>
      </c>
      <c r="D30" s="6">
        <v>1121.3</v>
      </c>
      <c r="E30" s="4">
        <v>206</v>
      </c>
      <c r="F30" s="93">
        <v>45379</v>
      </c>
      <c r="G30"/>
    </row>
    <row r="31" spans="1:7" ht="26.1" customHeight="1" x14ac:dyDescent="0.2">
      <c r="A31" s="3">
        <v>29</v>
      </c>
      <c r="B31" s="20" t="s">
        <v>606</v>
      </c>
      <c r="C31" s="20" t="s">
        <v>607</v>
      </c>
      <c r="D31" s="6">
        <v>1065</v>
      </c>
      <c r="E31" s="4">
        <v>211</v>
      </c>
      <c r="F31" s="93">
        <v>45597</v>
      </c>
      <c r="G31"/>
    </row>
    <row r="32" spans="1:7" ht="26.1" customHeight="1" x14ac:dyDescent="0.2">
      <c r="A32" s="3">
        <v>30</v>
      </c>
      <c r="B32" s="20" t="s">
        <v>608</v>
      </c>
      <c r="C32" s="20" t="s">
        <v>609</v>
      </c>
      <c r="D32" s="6">
        <v>536.29999999999995</v>
      </c>
      <c r="E32" s="4">
        <v>99</v>
      </c>
      <c r="F32" s="93">
        <v>45379</v>
      </c>
      <c r="G32"/>
    </row>
    <row r="33" spans="1:7" ht="26.1" customHeight="1" x14ac:dyDescent="0.2">
      <c r="A33" s="3">
        <v>31</v>
      </c>
      <c r="B33" s="20" t="s">
        <v>610</v>
      </c>
      <c r="C33" s="20" t="s">
        <v>611</v>
      </c>
      <c r="D33" s="6">
        <v>420</v>
      </c>
      <c r="E33" s="4">
        <v>105</v>
      </c>
      <c r="F33" s="93">
        <v>45012</v>
      </c>
      <c r="G33"/>
    </row>
    <row r="34" spans="1:7" ht="26.1" customHeight="1" x14ac:dyDescent="0.2">
      <c r="A34" s="3">
        <v>32</v>
      </c>
      <c r="B34" s="20" t="s">
        <v>612</v>
      </c>
      <c r="C34" s="20" t="s">
        <v>613</v>
      </c>
      <c r="D34" s="6">
        <v>400</v>
      </c>
      <c r="E34" s="4">
        <v>80</v>
      </c>
      <c r="F34" s="93">
        <v>44655</v>
      </c>
      <c r="G34"/>
    </row>
    <row r="35" spans="1:7" ht="26.1" customHeight="1" x14ac:dyDescent="0.2">
      <c r="A35" s="3">
        <v>33</v>
      </c>
      <c r="B35" s="20" t="s">
        <v>614</v>
      </c>
      <c r="C35" s="20" t="s">
        <v>614</v>
      </c>
      <c r="D35" s="6">
        <v>372</v>
      </c>
      <c r="E35" s="4">
        <v>93</v>
      </c>
      <c r="F35" s="93">
        <v>44316</v>
      </c>
      <c r="G35"/>
    </row>
    <row r="36" spans="1:7" ht="26.1" customHeight="1" x14ac:dyDescent="0.2">
      <c r="A36" s="3">
        <v>34</v>
      </c>
      <c r="B36" s="20" t="s">
        <v>615</v>
      </c>
      <c r="C36" s="20" t="s">
        <v>616</v>
      </c>
      <c r="D36" s="6">
        <v>340</v>
      </c>
      <c r="E36" s="4">
        <v>126</v>
      </c>
      <c r="F36" s="93">
        <v>45012</v>
      </c>
      <c r="G36"/>
    </row>
    <row r="37" spans="1:7" ht="26.1" customHeight="1" x14ac:dyDescent="0.2">
      <c r="A37" s="3">
        <v>35</v>
      </c>
      <c r="B37" s="20" t="s">
        <v>617</v>
      </c>
      <c r="C37" s="20" t="s">
        <v>618</v>
      </c>
      <c r="D37" s="6">
        <v>296.7</v>
      </c>
      <c r="E37" s="4">
        <v>71</v>
      </c>
      <c r="F37" s="93">
        <v>45379</v>
      </c>
      <c r="G37"/>
    </row>
    <row r="38" spans="1:7" ht="26.1" customHeight="1" x14ac:dyDescent="0.2">
      <c r="A38" s="3">
        <v>36</v>
      </c>
      <c r="B38" s="20" t="s">
        <v>619</v>
      </c>
      <c r="C38" s="20" t="s">
        <v>620</v>
      </c>
      <c r="D38" s="6">
        <v>270</v>
      </c>
      <c r="E38" s="4">
        <v>54</v>
      </c>
      <c r="F38" s="93">
        <v>44316</v>
      </c>
      <c r="G38"/>
    </row>
    <row r="39" spans="1:7" ht="26.1" customHeight="1" x14ac:dyDescent="0.2">
      <c r="A39" s="3">
        <v>37</v>
      </c>
      <c r="B39" s="20" t="s">
        <v>621</v>
      </c>
      <c r="C39" s="20" t="s">
        <v>622</v>
      </c>
      <c r="D39" s="6">
        <v>239</v>
      </c>
      <c r="E39" s="4">
        <v>16</v>
      </c>
      <c r="F39" s="93">
        <v>44655</v>
      </c>
      <c r="G39"/>
    </row>
    <row r="40" spans="1:7" ht="26.1" customHeight="1" x14ac:dyDescent="0.2">
      <c r="A40" s="3">
        <v>38</v>
      </c>
      <c r="B40" s="20" t="s">
        <v>623</v>
      </c>
      <c r="C40" s="20" t="s">
        <v>624</v>
      </c>
      <c r="D40" s="6">
        <v>208</v>
      </c>
      <c r="E40" s="4">
        <v>33</v>
      </c>
      <c r="F40" s="93">
        <v>45012</v>
      </c>
      <c r="G40"/>
    </row>
    <row r="41" spans="1:7" ht="26.1" customHeight="1" x14ac:dyDescent="0.2">
      <c r="A41" s="3">
        <v>39</v>
      </c>
      <c r="B41" s="20" t="s">
        <v>625</v>
      </c>
      <c r="C41" s="20" t="s">
        <v>626</v>
      </c>
      <c r="D41" s="6">
        <v>204</v>
      </c>
      <c r="E41" s="4">
        <v>58</v>
      </c>
      <c r="F41" s="93">
        <v>44007</v>
      </c>
      <c r="G41"/>
    </row>
    <row r="42" spans="1:7" ht="26.1" customHeight="1" x14ac:dyDescent="0.2">
      <c r="A42" s="3">
        <v>40</v>
      </c>
      <c r="B42" s="20" t="s">
        <v>627</v>
      </c>
      <c r="C42" s="20" t="s">
        <v>628</v>
      </c>
      <c r="D42" s="6">
        <v>203.4</v>
      </c>
      <c r="E42" s="4">
        <v>34</v>
      </c>
      <c r="F42" s="93">
        <v>44655</v>
      </c>
      <c r="G42"/>
    </row>
    <row r="43" spans="1:7" ht="26.1" customHeight="1" x14ac:dyDescent="0.2">
      <c r="A43" s="3">
        <v>41</v>
      </c>
      <c r="B43" s="20" t="s">
        <v>749</v>
      </c>
      <c r="C43" s="20" t="s">
        <v>749</v>
      </c>
      <c r="D43" s="6">
        <v>136</v>
      </c>
      <c r="E43" s="4">
        <v>34</v>
      </c>
      <c r="F43" s="93">
        <v>43574</v>
      </c>
      <c r="G43"/>
    </row>
    <row r="44" spans="1:7" ht="26.1" customHeight="1" x14ac:dyDescent="0.2">
      <c r="A44" s="3">
        <v>42</v>
      </c>
      <c r="B44" s="20" t="s">
        <v>629</v>
      </c>
      <c r="C44" s="20" t="s">
        <v>630</v>
      </c>
      <c r="D44" s="6">
        <v>100</v>
      </c>
      <c r="E44" s="4">
        <v>20</v>
      </c>
      <c r="F44" s="93">
        <v>44316</v>
      </c>
      <c r="G44"/>
    </row>
    <row r="45" spans="1:7" ht="26.1" customHeight="1" x14ac:dyDescent="0.2">
      <c r="A45" s="3">
        <v>43</v>
      </c>
      <c r="B45" s="20" t="s">
        <v>631</v>
      </c>
      <c r="C45" s="20" t="s">
        <v>632</v>
      </c>
      <c r="D45" s="6">
        <v>99</v>
      </c>
      <c r="E45" s="4">
        <v>18</v>
      </c>
      <c r="F45" s="93">
        <v>43987</v>
      </c>
      <c r="G45"/>
    </row>
    <row r="46" spans="1:7" ht="26.1" customHeight="1" x14ac:dyDescent="0.2">
      <c r="A46" s="3">
        <v>44</v>
      </c>
      <c r="B46" s="20" t="s">
        <v>633</v>
      </c>
      <c r="C46" s="20" t="s">
        <v>634</v>
      </c>
      <c r="D46" s="6">
        <v>95</v>
      </c>
      <c r="E46" s="4">
        <v>16</v>
      </c>
      <c r="F46" s="93">
        <v>45012</v>
      </c>
      <c r="G46"/>
    </row>
    <row r="47" spans="1:7" ht="26.1" customHeight="1" x14ac:dyDescent="0.2">
      <c r="A47" s="3">
        <v>45</v>
      </c>
      <c r="B47" s="20" t="s">
        <v>635</v>
      </c>
      <c r="C47" s="20" t="s">
        <v>636</v>
      </c>
      <c r="D47" s="6">
        <v>68</v>
      </c>
      <c r="E47" s="4">
        <v>14</v>
      </c>
      <c r="F47" s="93">
        <v>45012</v>
      </c>
      <c r="G47"/>
    </row>
    <row r="48" spans="1:7" ht="26.1" customHeight="1" x14ac:dyDescent="0.2">
      <c r="A48" s="3">
        <v>46</v>
      </c>
      <c r="B48" s="20" t="s">
        <v>637</v>
      </c>
      <c r="C48" s="20" t="s">
        <v>638</v>
      </c>
      <c r="D48" s="6">
        <v>64</v>
      </c>
      <c r="E48" s="4">
        <v>13</v>
      </c>
      <c r="F48" s="93" t="s">
        <v>644</v>
      </c>
      <c r="G48"/>
    </row>
    <row r="49" spans="1:7" ht="26.1" customHeight="1" x14ac:dyDescent="0.2">
      <c r="A49" s="3">
        <v>47</v>
      </c>
      <c r="B49" s="20" t="s">
        <v>639</v>
      </c>
      <c r="C49" s="20" t="s">
        <v>640</v>
      </c>
      <c r="D49" s="6">
        <v>57</v>
      </c>
      <c r="E49" s="4">
        <v>10</v>
      </c>
      <c r="F49" s="94">
        <v>45012</v>
      </c>
      <c r="G49"/>
    </row>
    <row r="50" spans="1:7" ht="26.1" customHeight="1" x14ac:dyDescent="0.2">
      <c r="A50" s="3">
        <v>48</v>
      </c>
      <c r="B50" s="20" t="s">
        <v>641</v>
      </c>
      <c r="C50" s="20" t="s">
        <v>641</v>
      </c>
      <c r="D50" s="6">
        <v>44.4</v>
      </c>
      <c r="E50" s="4">
        <v>6</v>
      </c>
      <c r="F50" s="94">
        <v>44659</v>
      </c>
      <c r="G50"/>
    </row>
    <row r="51" spans="1:7" ht="26.1" customHeight="1" x14ac:dyDescent="0.2">
      <c r="A51" s="3">
        <v>49</v>
      </c>
      <c r="B51" s="20" t="s">
        <v>642</v>
      </c>
      <c r="C51" s="20" t="s">
        <v>643</v>
      </c>
      <c r="D51" s="6">
        <v>40</v>
      </c>
      <c r="E51" s="4">
        <v>8</v>
      </c>
      <c r="F51" s="94">
        <v>44655</v>
      </c>
      <c r="G51"/>
    </row>
    <row r="52" spans="1:7" ht="26.1" customHeight="1" x14ac:dyDescent="0.2">
      <c r="A52" s="116"/>
      <c r="B52" s="141" t="s">
        <v>33</v>
      </c>
      <c r="C52" s="141"/>
      <c r="D52" s="144">
        <f>SUBTOTAL(109,Europoskinas[
Pajamos])</f>
        <v>448207.58000000007</v>
      </c>
      <c r="E52" s="145">
        <f>SUBTOTAL(109,Europoskinas[ 
Žiūrovai])</f>
        <v>66262</v>
      </c>
      <c r="F52" s="147"/>
      <c r="G52"/>
    </row>
    <row r="53" spans="1:7" ht="26.1" hidden="1" customHeight="1" x14ac:dyDescent="0.2">
      <c r="A53" s="26"/>
      <c r="B53" s="27"/>
      <c r="C53" s="27"/>
      <c r="D53" s="28"/>
      <c r="E53" s="29"/>
      <c r="F53" s="30"/>
      <c r="G53"/>
    </row>
    <row r="54" spans="1:7" ht="26.1" hidden="1" customHeight="1" x14ac:dyDescent="0.2">
      <c r="E54" s="8"/>
      <c r="F54"/>
      <c r="G54"/>
    </row>
    <row r="55" spans="1:7" ht="26.1" hidden="1" customHeight="1" x14ac:dyDescent="0.2">
      <c r="E55" s="25"/>
      <c r="F55"/>
      <c r="G55"/>
    </row>
    <row r="56" spans="1:7" ht="26.1" hidden="1" customHeight="1" x14ac:dyDescent="0.2">
      <c r="G56"/>
    </row>
    <row r="57" spans="1:7" ht="26.1" hidden="1" customHeight="1" x14ac:dyDescent="0.2">
      <c r="G57"/>
    </row>
    <row r="58" spans="1:7" ht="26.1" hidden="1" customHeight="1" x14ac:dyDescent="0.2">
      <c r="G58"/>
    </row>
    <row r="59" spans="1:7" ht="26.1" hidden="1" customHeight="1" x14ac:dyDescent="0.2">
      <c r="G59"/>
    </row>
    <row r="60" spans="1:7" ht="26.1" hidden="1" customHeight="1" x14ac:dyDescent="0.2">
      <c r="G60"/>
    </row>
    <row r="61" spans="1:7" ht="26.1" hidden="1" customHeight="1" x14ac:dyDescent="0.2">
      <c r="G61"/>
    </row>
    <row r="62" spans="1:7" ht="26.1" hidden="1" customHeight="1" x14ac:dyDescent="0.2">
      <c r="G62"/>
    </row>
    <row r="63" spans="1:7" ht="26.1" hidden="1" customHeight="1" x14ac:dyDescent="0.2">
      <c r="G63"/>
    </row>
    <row r="64" spans="1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8" ht="26.1" hidden="1" customHeight="1" x14ac:dyDescent="0.2">
      <c r="G177"/>
    </row>
    <row r="178" spans="7:8" ht="26.1" hidden="1" customHeight="1" x14ac:dyDescent="0.2">
      <c r="G178"/>
    </row>
    <row r="179" spans="7:8" ht="26.1" hidden="1" customHeight="1" x14ac:dyDescent="0.2">
      <c r="G179"/>
    </row>
    <row r="180" spans="7:8" ht="26.1" hidden="1" customHeight="1" x14ac:dyDescent="0.2">
      <c r="G180"/>
    </row>
    <row r="181" spans="7:8" ht="26.1" hidden="1" customHeight="1" x14ac:dyDescent="0.2">
      <c r="G181"/>
    </row>
    <row r="182" spans="7:8" ht="26.1" hidden="1" customHeight="1" x14ac:dyDescent="0.2">
      <c r="G182"/>
    </row>
    <row r="183" spans="7:8" ht="26.1" hidden="1" customHeight="1" x14ac:dyDescent="0.2">
      <c r="G183"/>
    </row>
    <row r="184" spans="7:8" ht="26.1" hidden="1" customHeight="1" x14ac:dyDescent="0.2">
      <c r="G184"/>
    </row>
    <row r="185" spans="7:8" ht="26.1" hidden="1" customHeight="1" x14ac:dyDescent="0.2">
      <c r="G185"/>
    </row>
    <row r="186" spans="7:8" ht="26.1" hidden="1" customHeight="1" x14ac:dyDescent="0.2">
      <c r="G186"/>
    </row>
    <row r="187" spans="7:8" ht="26.1" hidden="1" customHeight="1" x14ac:dyDescent="0.2"/>
    <row r="188" spans="7:8" ht="26.1" hidden="1" customHeight="1" x14ac:dyDescent="0.2"/>
    <row r="189" spans="7:8" ht="26.1" hidden="1" customHeight="1" x14ac:dyDescent="0.2">
      <c r="G189" s="25"/>
      <c r="H189" s="24"/>
    </row>
    <row r="190" spans="7:8" ht="26.1" hidden="1" customHeight="1" x14ac:dyDescent="0.2"/>
    <row r="191" spans="7:8" ht="12" hidden="1" x14ac:dyDescent="0.2"/>
    <row r="192" spans="7:8" ht="12" hidden="1" x14ac:dyDescent="0.2"/>
    <row r="193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AF56-C85B-47D7-A27C-EF6EA2838F2B}">
  <dimension ref="A1:M180"/>
  <sheetViews>
    <sheetView zoomScale="70" zoomScaleNormal="70" workbookViewId="0">
      <selection activeCell="A4" sqref="A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25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365</v>
      </c>
      <c r="C3" s="20" t="s">
        <v>365</v>
      </c>
      <c r="D3" s="6">
        <v>292423.93000000005</v>
      </c>
      <c r="E3" s="4">
        <v>42681</v>
      </c>
      <c r="F3" s="89">
        <v>45632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SUBTOTAL(109,Pomokyklos[
Pajamos])</f>
        <v>292423.93000000005</v>
      </c>
      <c r="E4" s="145">
        <f>SUBTOTAL(109,Pomokyklos[ 
Žiūrovai])</f>
        <v>42681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5.5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8" ht="26.1" hidden="1" customHeight="1" x14ac:dyDescent="0.2">
      <c r="G161"/>
    </row>
    <row r="162" spans="7:8" ht="26.1" hidden="1" customHeight="1" x14ac:dyDescent="0.2">
      <c r="G162"/>
    </row>
    <row r="163" spans="7:8" ht="26.1" hidden="1" customHeight="1" x14ac:dyDescent="0.2">
      <c r="G163"/>
    </row>
    <row r="164" spans="7:8" ht="26.1" hidden="1" customHeight="1" x14ac:dyDescent="0.2">
      <c r="G164"/>
    </row>
    <row r="165" spans="7:8" ht="26.1" hidden="1" customHeight="1" x14ac:dyDescent="0.2">
      <c r="G165"/>
    </row>
    <row r="166" spans="7:8" ht="26.1" hidden="1" customHeight="1" x14ac:dyDescent="0.2">
      <c r="G166"/>
    </row>
    <row r="167" spans="7:8" ht="26.1" hidden="1" customHeight="1" x14ac:dyDescent="0.2">
      <c r="G167"/>
    </row>
    <row r="168" spans="7:8" ht="26.1" hidden="1" customHeight="1" x14ac:dyDescent="0.2">
      <c r="G168"/>
    </row>
    <row r="169" spans="7:8" ht="26.1" hidden="1" customHeight="1" x14ac:dyDescent="0.2">
      <c r="G169"/>
    </row>
    <row r="170" spans="7:8" ht="26.1" hidden="1" customHeight="1" x14ac:dyDescent="0.2">
      <c r="G170"/>
    </row>
    <row r="171" spans="7:8" ht="26.1" hidden="1" customHeight="1" x14ac:dyDescent="0.2">
      <c r="G171"/>
    </row>
    <row r="172" spans="7:8" ht="26.1" hidden="1" customHeight="1" x14ac:dyDescent="0.2">
      <c r="G172"/>
    </row>
    <row r="173" spans="7:8" ht="26.1" hidden="1" customHeight="1" x14ac:dyDescent="0.2">
      <c r="G173"/>
    </row>
    <row r="174" spans="7:8" ht="26.1" hidden="1" customHeight="1" x14ac:dyDescent="0.2"/>
    <row r="175" spans="7:8" ht="26.1" hidden="1" customHeight="1" x14ac:dyDescent="0.2"/>
    <row r="176" spans="7:8" ht="26.1" hidden="1" customHeight="1" x14ac:dyDescent="0.2">
      <c r="G176" s="25"/>
      <c r="H176" s="24"/>
    </row>
    <row r="177" ht="26.1" hidden="1" customHeight="1" x14ac:dyDescent="0.2"/>
    <row r="178" ht="12" hidden="1" x14ac:dyDescent="0.2"/>
    <row r="179" ht="12" hidden="1" x14ac:dyDescent="0.2"/>
    <row r="180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78CD-B3CE-4F92-8407-A0F53625B772}">
  <dimension ref="A1:M194"/>
  <sheetViews>
    <sheetView zoomScale="70" zoomScaleNormal="70" workbookViewId="0">
      <selection activeCell="B21" sqref="B21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10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412</v>
      </c>
      <c r="C3" s="20" t="s">
        <v>413</v>
      </c>
      <c r="D3" s="6">
        <v>38616.210000000006</v>
      </c>
      <c r="E3" s="4">
        <v>6032</v>
      </c>
      <c r="F3" s="93">
        <v>45282</v>
      </c>
      <c r="G3"/>
    </row>
    <row r="4" spans="1:8" ht="26.1" customHeight="1" x14ac:dyDescent="0.2">
      <c r="A4" s="3">
        <v>2</v>
      </c>
      <c r="B4" s="20" t="s">
        <v>414</v>
      </c>
      <c r="C4" s="20" t="s">
        <v>415</v>
      </c>
      <c r="D4" s="6">
        <v>30029</v>
      </c>
      <c r="E4" s="4">
        <v>4123</v>
      </c>
      <c r="F4" s="93">
        <v>45653</v>
      </c>
      <c r="G4"/>
    </row>
    <row r="5" spans="1:8" ht="26.1" customHeight="1" x14ac:dyDescent="0.2">
      <c r="A5" s="3">
        <v>3</v>
      </c>
      <c r="B5" s="20" t="s">
        <v>416</v>
      </c>
      <c r="C5" s="20" t="s">
        <v>417</v>
      </c>
      <c r="D5" s="6">
        <v>20081.400000000001</v>
      </c>
      <c r="E5" s="4">
        <v>3342</v>
      </c>
      <c r="F5" s="93">
        <v>45401</v>
      </c>
      <c r="G5"/>
    </row>
    <row r="6" spans="1:8" ht="26.1" customHeight="1" x14ac:dyDescent="0.2">
      <c r="A6" s="3">
        <v>4</v>
      </c>
      <c r="B6" s="20" t="s">
        <v>418</v>
      </c>
      <c r="C6" s="20" t="s">
        <v>419</v>
      </c>
      <c r="D6" s="6">
        <v>12422.9</v>
      </c>
      <c r="E6" s="4">
        <v>1984</v>
      </c>
      <c r="F6" s="93">
        <v>45597</v>
      </c>
      <c r="G6"/>
    </row>
    <row r="7" spans="1:8" ht="26.1" customHeight="1" x14ac:dyDescent="0.2">
      <c r="A7" s="3">
        <v>5</v>
      </c>
      <c r="B7" s="20" t="s">
        <v>420</v>
      </c>
      <c r="C7" s="20" t="s">
        <v>421</v>
      </c>
      <c r="D7" s="6">
        <v>11199</v>
      </c>
      <c r="E7" s="4">
        <v>2090</v>
      </c>
      <c r="F7" s="93">
        <v>45331</v>
      </c>
      <c r="G7"/>
    </row>
    <row r="8" spans="1:8" ht="26.1" customHeight="1" x14ac:dyDescent="0.2">
      <c r="A8" s="3">
        <v>6</v>
      </c>
      <c r="B8" s="20" t="s">
        <v>422</v>
      </c>
      <c r="C8" s="20" t="s">
        <v>423</v>
      </c>
      <c r="D8" s="6">
        <v>10278.94</v>
      </c>
      <c r="E8" s="4">
        <v>1795</v>
      </c>
      <c r="F8" s="93">
        <v>45618</v>
      </c>
      <c r="G8"/>
    </row>
    <row r="9" spans="1:8" ht="26.1" customHeight="1" x14ac:dyDescent="0.2">
      <c r="A9" s="3">
        <v>7</v>
      </c>
      <c r="B9" s="20" t="s">
        <v>424</v>
      </c>
      <c r="C9" s="20" t="s">
        <v>425</v>
      </c>
      <c r="D9" s="6">
        <v>8407.4000000000015</v>
      </c>
      <c r="E9" s="4">
        <v>1542</v>
      </c>
      <c r="F9" s="93">
        <v>45303</v>
      </c>
      <c r="G9"/>
    </row>
    <row r="10" spans="1:8" ht="26.1" customHeight="1" x14ac:dyDescent="0.2">
      <c r="A10" s="3">
        <v>8</v>
      </c>
      <c r="B10" s="20" t="s">
        <v>426</v>
      </c>
      <c r="C10" s="20" t="s">
        <v>427</v>
      </c>
      <c r="D10" s="6">
        <v>8064.7</v>
      </c>
      <c r="E10" s="4">
        <v>1565</v>
      </c>
      <c r="F10" s="93">
        <v>45317</v>
      </c>
      <c r="G10"/>
    </row>
    <row r="11" spans="1:8" ht="26.1" customHeight="1" x14ac:dyDescent="0.2">
      <c r="A11" s="3">
        <v>9</v>
      </c>
      <c r="B11" s="20" t="s">
        <v>428</v>
      </c>
      <c r="C11" s="20" t="s">
        <v>429</v>
      </c>
      <c r="D11" s="6">
        <v>6704</v>
      </c>
      <c r="E11" s="4">
        <v>1248</v>
      </c>
      <c r="F11" s="93">
        <v>45590</v>
      </c>
      <c r="G11"/>
    </row>
    <row r="12" spans="1:8" ht="26.1" customHeight="1" x14ac:dyDescent="0.2">
      <c r="A12" s="3">
        <v>10</v>
      </c>
      <c r="B12" s="20" t="s">
        <v>430</v>
      </c>
      <c r="C12" s="20" t="s">
        <v>431</v>
      </c>
      <c r="D12" s="6">
        <v>6165</v>
      </c>
      <c r="E12" s="4">
        <v>1195</v>
      </c>
      <c r="F12" s="93">
        <v>45254</v>
      </c>
      <c r="G12"/>
    </row>
    <row r="13" spans="1:8" ht="26.1" customHeight="1" x14ac:dyDescent="0.2">
      <c r="A13" s="3">
        <v>11</v>
      </c>
      <c r="B13" s="20" t="s">
        <v>432</v>
      </c>
      <c r="C13" s="20" t="s">
        <v>433</v>
      </c>
      <c r="D13" s="6">
        <v>4701.6000000000004</v>
      </c>
      <c r="E13" s="4">
        <v>807</v>
      </c>
      <c r="F13" s="93">
        <v>45338</v>
      </c>
      <c r="G13"/>
    </row>
    <row r="14" spans="1:8" ht="26.1" customHeight="1" x14ac:dyDescent="0.2">
      <c r="A14" s="3">
        <v>12</v>
      </c>
      <c r="B14" s="20" t="s">
        <v>434</v>
      </c>
      <c r="C14" s="20" t="s">
        <v>435</v>
      </c>
      <c r="D14" s="6">
        <v>3911.2</v>
      </c>
      <c r="E14" s="4">
        <v>763</v>
      </c>
      <c r="F14" s="93">
        <v>45415</v>
      </c>
      <c r="G14"/>
    </row>
    <row r="15" spans="1:8" ht="26.1" customHeight="1" x14ac:dyDescent="0.2">
      <c r="A15" s="3">
        <v>13</v>
      </c>
      <c r="B15" s="20" t="s">
        <v>436</v>
      </c>
      <c r="C15" s="20" t="s">
        <v>437</v>
      </c>
      <c r="D15" s="6">
        <v>3824.4</v>
      </c>
      <c r="E15" s="4">
        <v>628</v>
      </c>
      <c r="F15" s="93">
        <v>45506</v>
      </c>
      <c r="G15"/>
    </row>
    <row r="16" spans="1:8" ht="26.1" customHeight="1" x14ac:dyDescent="0.2">
      <c r="A16" s="3">
        <v>14</v>
      </c>
      <c r="B16" s="20" t="s">
        <v>438</v>
      </c>
      <c r="C16" s="20" t="s">
        <v>439</v>
      </c>
      <c r="D16" s="6">
        <v>3739.5</v>
      </c>
      <c r="E16" s="4">
        <v>769</v>
      </c>
      <c r="F16" s="93">
        <v>45422</v>
      </c>
      <c r="G16"/>
    </row>
    <row r="17" spans="1:7" ht="26.1" customHeight="1" x14ac:dyDescent="0.2">
      <c r="A17" s="3">
        <v>15</v>
      </c>
      <c r="B17" s="20" t="s">
        <v>440</v>
      </c>
      <c r="C17" s="20" t="s">
        <v>441</v>
      </c>
      <c r="D17" s="6">
        <v>3292.46</v>
      </c>
      <c r="E17" s="4">
        <v>591</v>
      </c>
      <c r="F17" s="93">
        <v>45345</v>
      </c>
      <c r="G17"/>
    </row>
    <row r="18" spans="1:7" ht="26.1" customHeight="1" x14ac:dyDescent="0.2">
      <c r="A18" s="3">
        <v>16</v>
      </c>
      <c r="B18" s="20" t="s">
        <v>442</v>
      </c>
      <c r="C18" s="20" t="s">
        <v>443</v>
      </c>
      <c r="D18" s="6">
        <v>3144</v>
      </c>
      <c r="E18" s="4">
        <v>641</v>
      </c>
      <c r="F18" s="93">
        <v>45176</v>
      </c>
      <c r="G18"/>
    </row>
    <row r="19" spans="1:7" ht="26.1" customHeight="1" x14ac:dyDescent="0.2">
      <c r="A19" s="3">
        <v>17</v>
      </c>
      <c r="B19" s="20" t="s">
        <v>444</v>
      </c>
      <c r="C19" s="20" t="s">
        <v>445</v>
      </c>
      <c r="D19" s="6">
        <v>2883.5</v>
      </c>
      <c r="E19" s="4">
        <v>484</v>
      </c>
      <c r="F19" s="93">
        <v>45632</v>
      </c>
      <c r="G19"/>
    </row>
    <row r="20" spans="1:7" ht="26.1" customHeight="1" x14ac:dyDescent="0.2">
      <c r="A20" s="3">
        <v>18</v>
      </c>
      <c r="B20" s="20" t="s">
        <v>446</v>
      </c>
      <c r="C20" s="20" t="s">
        <v>447</v>
      </c>
      <c r="D20" s="6">
        <v>2730.7</v>
      </c>
      <c r="E20" s="4">
        <v>610</v>
      </c>
      <c r="F20" s="93">
        <v>45429</v>
      </c>
      <c r="G20"/>
    </row>
    <row r="21" spans="1:7" ht="26.1" customHeight="1" x14ac:dyDescent="0.2">
      <c r="A21" s="3">
        <v>19</v>
      </c>
      <c r="B21" s="20" t="s">
        <v>448</v>
      </c>
      <c r="C21" s="20" t="s">
        <v>448</v>
      </c>
      <c r="D21" s="6">
        <v>1474.3</v>
      </c>
      <c r="E21" s="4">
        <v>304</v>
      </c>
      <c r="F21" s="93">
        <v>45261</v>
      </c>
      <c r="G21"/>
    </row>
    <row r="22" spans="1:7" ht="26.1" customHeight="1" x14ac:dyDescent="0.2">
      <c r="A22" s="3">
        <v>20</v>
      </c>
      <c r="B22" s="20" t="s">
        <v>449</v>
      </c>
      <c r="C22" s="20" t="s">
        <v>450</v>
      </c>
      <c r="D22" s="6">
        <v>1126.3</v>
      </c>
      <c r="E22" s="4">
        <v>230</v>
      </c>
      <c r="F22" s="93">
        <v>45268</v>
      </c>
      <c r="G22"/>
    </row>
    <row r="23" spans="1:7" ht="26.1" customHeight="1" x14ac:dyDescent="0.2">
      <c r="A23" s="3">
        <v>21</v>
      </c>
      <c r="B23" s="20" t="s">
        <v>451</v>
      </c>
      <c r="C23" s="20" t="s">
        <v>452</v>
      </c>
      <c r="D23" s="6">
        <v>356</v>
      </c>
      <c r="E23" s="4">
        <v>58</v>
      </c>
      <c r="F23" s="93">
        <v>45389</v>
      </c>
      <c r="G23"/>
    </row>
    <row r="24" spans="1:7" ht="26.1" customHeight="1" x14ac:dyDescent="0.2">
      <c r="A24" s="116" t="s">
        <v>34</v>
      </c>
      <c r="B24" s="141"/>
      <c r="C24" s="141"/>
      <c r="D24" s="144">
        <f>SUBTOTAL(109,Table3567891011[
Pajamos])</f>
        <v>183152.51</v>
      </c>
      <c r="E24" s="145">
        <f>SUBTOTAL(109,Table3567891011[ 
Žiūrovai])</f>
        <v>30801</v>
      </c>
      <c r="F24" s="147"/>
      <c r="G24"/>
    </row>
    <row r="25" spans="1:7" ht="26.1" hidden="1" customHeight="1" x14ac:dyDescent="0.2">
      <c r="A25" s="26"/>
      <c r="B25" s="27"/>
      <c r="C25" s="27"/>
      <c r="D25" s="28"/>
      <c r="E25" s="29"/>
      <c r="F25" s="30"/>
      <c r="G25"/>
    </row>
    <row r="26" spans="1:7" ht="26.1" hidden="1" customHeight="1" x14ac:dyDescent="0.2">
      <c r="E26" s="8"/>
      <c r="F26"/>
      <c r="G26"/>
    </row>
    <row r="27" spans="1:7" ht="26.1" hidden="1" customHeight="1" x14ac:dyDescent="0.2">
      <c r="E27" s="25"/>
      <c r="F27"/>
      <c r="G27"/>
    </row>
    <row r="28" spans="1:7" ht="26.1" hidden="1" customHeight="1" x14ac:dyDescent="0.2">
      <c r="G28"/>
    </row>
    <row r="29" spans="1:7" ht="26.1" hidden="1" customHeight="1" x14ac:dyDescent="0.2">
      <c r="G29"/>
    </row>
    <row r="30" spans="1:7" ht="26.1" hidden="1" customHeight="1" x14ac:dyDescent="0.2">
      <c r="G30"/>
    </row>
    <row r="31" spans="1:7" ht="26.1" hidden="1" customHeight="1" x14ac:dyDescent="0.2"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8" ht="26.1" hidden="1" customHeight="1" x14ac:dyDescent="0.2">
      <c r="G177"/>
    </row>
    <row r="178" spans="7:8" ht="26.1" hidden="1" customHeight="1" x14ac:dyDescent="0.2">
      <c r="G178"/>
    </row>
    <row r="179" spans="7:8" ht="26.1" hidden="1" customHeight="1" x14ac:dyDescent="0.2">
      <c r="G179"/>
    </row>
    <row r="180" spans="7:8" ht="26.1" hidden="1" customHeight="1" x14ac:dyDescent="0.2">
      <c r="G180"/>
    </row>
    <row r="181" spans="7:8" ht="26.1" hidden="1" customHeight="1" x14ac:dyDescent="0.2">
      <c r="G181"/>
    </row>
    <row r="182" spans="7:8" ht="26.1" hidden="1" customHeight="1" x14ac:dyDescent="0.2">
      <c r="G182"/>
    </row>
    <row r="183" spans="7:8" ht="26.1" hidden="1" customHeight="1" x14ac:dyDescent="0.2">
      <c r="G183"/>
    </row>
    <row r="184" spans="7:8" ht="26.1" hidden="1" customHeight="1" x14ac:dyDescent="0.2">
      <c r="G184"/>
    </row>
    <row r="185" spans="7:8" ht="26.1" hidden="1" customHeight="1" x14ac:dyDescent="0.2">
      <c r="G185"/>
    </row>
    <row r="186" spans="7:8" ht="26.1" hidden="1" customHeight="1" x14ac:dyDescent="0.2">
      <c r="G186"/>
    </row>
    <row r="187" spans="7:8" ht="26.1" hidden="1" customHeight="1" x14ac:dyDescent="0.2">
      <c r="G187"/>
    </row>
    <row r="188" spans="7:8" ht="26.1" hidden="1" customHeight="1" x14ac:dyDescent="0.2"/>
    <row r="189" spans="7:8" ht="26.1" hidden="1" customHeight="1" x14ac:dyDescent="0.2"/>
    <row r="190" spans="7:8" ht="26.1" hidden="1" customHeight="1" x14ac:dyDescent="0.2">
      <c r="G190" s="25"/>
      <c r="H190" s="24"/>
    </row>
    <row r="191" spans="7:8" ht="26.1" hidden="1" customHeight="1" x14ac:dyDescent="0.2"/>
    <row r="192" spans="7:8" ht="12" hidden="1" x14ac:dyDescent="0.2"/>
    <row r="193" ht="12" hidden="1" x14ac:dyDescent="0.2"/>
    <row r="194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00C3-C74F-49C4-8845-1B953A8351DC}">
  <dimension ref="A1:M218"/>
  <sheetViews>
    <sheetView zoomScale="70" zoomScaleNormal="70" workbookViewId="0">
      <selection activeCell="B17" sqref="B17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72" t="s">
        <v>13</v>
      </c>
      <c r="B1" s="173"/>
      <c r="C1" s="173"/>
      <c r="D1" s="173"/>
      <c r="E1" s="173"/>
      <c r="F1" s="174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477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478</v>
      </c>
      <c r="C3" s="20" t="s">
        <v>479</v>
      </c>
      <c r="D3" s="6">
        <v>23106.59</v>
      </c>
      <c r="E3" s="4">
        <v>3246</v>
      </c>
      <c r="F3" s="93">
        <v>45611</v>
      </c>
      <c r="G3"/>
    </row>
    <row r="4" spans="1:8" ht="26.1" customHeight="1" x14ac:dyDescent="0.2">
      <c r="A4" s="3">
        <v>2</v>
      </c>
      <c r="B4" s="20" t="s">
        <v>480</v>
      </c>
      <c r="C4" s="20" t="s">
        <v>481</v>
      </c>
      <c r="D4" s="6">
        <v>14082.95</v>
      </c>
      <c r="E4" s="4">
        <v>2242</v>
      </c>
      <c r="F4" s="93">
        <v>45408</v>
      </c>
      <c r="G4"/>
    </row>
    <row r="5" spans="1:8" ht="26.1" customHeight="1" x14ac:dyDescent="0.2">
      <c r="A5" s="3">
        <v>3</v>
      </c>
      <c r="B5" s="20" t="s">
        <v>482</v>
      </c>
      <c r="C5" s="20" t="s">
        <v>482</v>
      </c>
      <c r="D5" s="6">
        <v>11959.69</v>
      </c>
      <c r="E5" s="4">
        <v>2041</v>
      </c>
      <c r="F5" s="93">
        <v>45387</v>
      </c>
      <c r="G5"/>
    </row>
    <row r="6" spans="1:8" ht="26.1" customHeight="1" x14ac:dyDescent="0.2">
      <c r="A6" s="3">
        <v>4</v>
      </c>
      <c r="B6" s="20" t="s">
        <v>483</v>
      </c>
      <c r="C6" s="20" t="s">
        <v>484</v>
      </c>
      <c r="D6" s="6">
        <v>8816.6500000000015</v>
      </c>
      <c r="E6" s="4">
        <v>1595</v>
      </c>
      <c r="F6" s="93">
        <v>45618</v>
      </c>
      <c r="G6"/>
    </row>
    <row r="7" spans="1:8" ht="26.1" customHeight="1" x14ac:dyDescent="0.2">
      <c r="A7" s="3">
        <v>5</v>
      </c>
      <c r="B7" s="20" t="s">
        <v>485</v>
      </c>
      <c r="C7" s="20" t="s">
        <v>486</v>
      </c>
      <c r="D7" s="6">
        <v>8193.51</v>
      </c>
      <c r="E7" s="4">
        <v>1318</v>
      </c>
      <c r="F7" s="93">
        <v>45618</v>
      </c>
      <c r="G7"/>
    </row>
    <row r="8" spans="1:8" ht="26.1" customHeight="1" x14ac:dyDescent="0.2">
      <c r="A8" s="3">
        <v>6</v>
      </c>
      <c r="B8" s="20" t="s">
        <v>487</v>
      </c>
      <c r="C8" s="20" t="s">
        <v>488</v>
      </c>
      <c r="D8" s="6">
        <v>6990.8900000000012</v>
      </c>
      <c r="E8" s="4">
        <v>1042</v>
      </c>
      <c r="F8" s="93">
        <v>45359</v>
      </c>
      <c r="G8"/>
    </row>
    <row r="9" spans="1:8" ht="26.1" customHeight="1" x14ac:dyDescent="0.2">
      <c r="A9" s="3">
        <v>7</v>
      </c>
      <c r="B9" s="20" t="s">
        <v>489</v>
      </c>
      <c r="C9" s="20" t="s">
        <v>490</v>
      </c>
      <c r="D9" s="6">
        <v>6353.59</v>
      </c>
      <c r="E9" s="4">
        <v>1102</v>
      </c>
      <c r="F9" s="93">
        <v>45450</v>
      </c>
      <c r="G9"/>
    </row>
    <row r="10" spans="1:8" ht="26.1" customHeight="1" x14ac:dyDescent="0.2">
      <c r="A10" s="3">
        <v>8</v>
      </c>
      <c r="B10" s="20" t="s">
        <v>491</v>
      </c>
      <c r="C10" s="20" t="s">
        <v>492</v>
      </c>
      <c r="D10" s="6">
        <v>6027</v>
      </c>
      <c r="E10" s="4">
        <v>1068</v>
      </c>
      <c r="F10" s="93">
        <v>45471</v>
      </c>
      <c r="G10"/>
    </row>
    <row r="11" spans="1:8" ht="26.1" customHeight="1" x14ac:dyDescent="0.2">
      <c r="A11" s="3">
        <v>9</v>
      </c>
      <c r="B11" s="20" t="s">
        <v>493</v>
      </c>
      <c r="C11" s="20" t="s">
        <v>494</v>
      </c>
      <c r="D11" s="6">
        <v>4728</v>
      </c>
      <c r="E11" s="4">
        <v>886</v>
      </c>
      <c r="F11" s="93">
        <v>45646</v>
      </c>
      <c r="G11"/>
    </row>
    <row r="12" spans="1:8" ht="26.1" customHeight="1" x14ac:dyDescent="0.2">
      <c r="A12" s="3">
        <v>10</v>
      </c>
      <c r="B12" s="20" t="s">
        <v>495</v>
      </c>
      <c r="C12" s="20" t="s">
        <v>496</v>
      </c>
      <c r="D12" s="6">
        <v>4269.1000000000004</v>
      </c>
      <c r="E12" s="4">
        <v>1951</v>
      </c>
      <c r="F12" s="93">
        <v>45415</v>
      </c>
      <c r="G12"/>
    </row>
    <row r="13" spans="1:8" ht="26.1" customHeight="1" x14ac:dyDescent="0.2">
      <c r="A13" s="3">
        <v>11</v>
      </c>
      <c r="B13" s="20" t="s">
        <v>497</v>
      </c>
      <c r="C13" s="20" t="s">
        <v>498</v>
      </c>
      <c r="D13" s="6">
        <v>4116.3099999999995</v>
      </c>
      <c r="E13" s="4">
        <v>749</v>
      </c>
      <c r="F13" s="93">
        <v>45338</v>
      </c>
      <c r="G13"/>
    </row>
    <row r="14" spans="1:8" ht="26.1" customHeight="1" x14ac:dyDescent="0.2">
      <c r="A14" s="3">
        <v>12</v>
      </c>
      <c r="B14" s="20" t="s">
        <v>499</v>
      </c>
      <c r="C14" s="20" t="s">
        <v>500</v>
      </c>
      <c r="D14" s="6">
        <v>2456</v>
      </c>
      <c r="E14" s="4">
        <v>380</v>
      </c>
      <c r="F14" s="93">
        <v>44966</v>
      </c>
      <c r="G14"/>
    </row>
    <row r="15" spans="1:8" ht="26.1" customHeight="1" x14ac:dyDescent="0.2">
      <c r="A15" s="3">
        <v>13</v>
      </c>
      <c r="B15" s="20" t="s">
        <v>501</v>
      </c>
      <c r="C15" s="20" t="s">
        <v>502</v>
      </c>
      <c r="D15" s="6">
        <v>1952</v>
      </c>
      <c r="E15" s="4">
        <v>366</v>
      </c>
      <c r="F15" s="93">
        <v>45576</v>
      </c>
      <c r="G15"/>
    </row>
    <row r="16" spans="1:8" ht="26.1" customHeight="1" x14ac:dyDescent="0.2">
      <c r="A16" s="3">
        <v>14</v>
      </c>
      <c r="B16" s="20" t="s">
        <v>503</v>
      </c>
      <c r="C16" s="20" t="s">
        <v>504</v>
      </c>
      <c r="D16" s="6">
        <v>1813.15</v>
      </c>
      <c r="E16" s="4">
        <v>334</v>
      </c>
      <c r="F16" s="93">
        <v>45576</v>
      </c>
      <c r="G16"/>
    </row>
    <row r="17" spans="1:7" ht="26.1" customHeight="1" x14ac:dyDescent="0.2">
      <c r="A17" s="3">
        <v>15</v>
      </c>
      <c r="B17" s="20" t="s">
        <v>505</v>
      </c>
      <c r="C17" s="20" t="s">
        <v>506</v>
      </c>
      <c r="D17" s="6">
        <v>561</v>
      </c>
      <c r="E17" s="4">
        <v>111</v>
      </c>
      <c r="F17" s="93">
        <v>45282</v>
      </c>
      <c r="G17"/>
    </row>
    <row r="18" spans="1:7" ht="26.1" customHeight="1" x14ac:dyDescent="0.2">
      <c r="A18" s="3">
        <v>16</v>
      </c>
      <c r="B18" s="20" t="s">
        <v>507</v>
      </c>
      <c r="C18" s="20" t="s">
        <v>508</v>
      </c>
      <c r="D18" s="6">
        <v>499</v>
      </c>
      <c r="E18" s="4">
        <v>100</v>
      </c>
      <c r="F18" s="93">
        <v>45275</v>
      </c>
      <c r="G18"/>
    </row>
    <row r="19" spans="1:7" ht="26.1" customHeight="1" x14ac:dyDescent="0.2">
      <c r="A19" s="116" t="s">
        <v>34</v>
      </c>
      <c r="B19" s="141" t="s">
        <v>33</v>
      </c>
      <c r="C19" s="141"/>
      <c r="D19" s="144">
        <f>SUBTOTAL(109,BestFilm[
Pajamos])</f>
        <v>105925.43</v>
      </c>
      <c r="E19" s="145">
        <f>SUBTOTAL(109,BestFilm[ 
Žiūrovai])</f>
        <v>18531</v>
      </c>
      <c r="F19" s="147"/>
      <c r="G19"/>
    </row>
    <row r="20" spans="1:7" ht="26.1" hidden="1" customHeight="1" x14ac:dyDescent="0.2">
      <c r="A20" s="26"/>
      <c r="B20" s="27"/>
      <c r="C20" s="27"/>
      <c r="D20" s="28"/>
      <c r="E20" s="29"/>
      <c r="F20" s="30"/>
      <c r="G20"/>
    </row>
    <row r="21" spans="1:7" ht="26.1" hidden="1" customHeight="1" x14ac:dyDescent="0.2">
      <c r="E21" s="8"/>
      <c r="F21"/>
      <c r="G21"/>
    </row>
    <row r="22" spans="1:7" ht="26.1" hidden="1" customHeight="1" x14ac:dyDescent="0.2">
      <c r="E22" s="25"/>
      <c r="F22"/>
      <c r="G22"/>
    </row>
    <row r="23" spans="1:7" ht="26.1" hidden="1" customHeight="1" x14ac:dyDescent="0.2">
      <c r="G23"/>
    </row>
    <row r="24" spans="1:7" ht="26.1" hidden="1" customHeight="1" x14ac:dyDescent="0.2">
      <c r="G24"/>
    </row>
    <row r="25" spans="1:7" ht="26.1" hidden="1" customHeight="1" x14ac:dyDescent="0.2">
      <c r="G25"/>
    </row>
    <row r="26" spans="1:7" ht="26.1" hidden="1" customHeight="1" x14ac:dyDescent="0.2">
      <c r="G26"/>
    </row>
    <row r="27" spans="1:7" ht="26.1" hidden="1" customHeight="1" x14ac:dyDescent="0.2">
      <c r="G27"/>
    </row>
    <row r="28" spans="1:7" ht="26.1" hidden="1" customHeight="1" x14ac:dyDescent="0.2">
      <c r="G28"/>
    </row>
    <row r="29" spans="1:7" ht="26.1" hidden="1" customHeight="1" x14ac:dyDescent="0.2">
      <c r="G29"/>
    </row>
    <row r="30" spans="1:7" ht="26.1" hidden="1" customHeight="1" x14ac:dyDescent="0.2">
      <c r="G30"/>
    </row>
    <row r="31" spans="1:7" ht="26.1" hidden="1" customHeight="1" x14ac:dyDescent="0.2"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7" ht="26.1" hidden="1" customHeight="1" x14ac:dyDescent="0.2">
      <c r="G177"/>
    </row>
    <row r="178" spans="7:7" ht="26.1" hidden="1" customHeight="1" x14ac:dyDescent="0.2">
      <c r="G178"/>
    </row>
    <row r="179" spans="7:7" ht="26.1" hidden="1" customHeight="1" x14ac:dyDescent="0.2">
      <c r="G179"/>
    </row>
    <row r="180" spans="7:7" ht="26.1" hidden="1" customHeight="1" x14ac:dyDescent="0.2">
      <c r="G180"/>
    </row>
    <row r="181" spans="7:7" ht="26.1" hidden="1" customHeight="1" x14ac:dyDescent="0.2">
      <c r="G181"/>
    </row>
    <row r="182" spans="7:7" ht="26.1" hidden="1" customHeight="1" x14ac:dyDescent="0.2">
      <c r="G182"/>
    </row>
    <row r="183" spans="7:7" ht="26.1" hidden="1" customHeight="1" x14ac:dyDescent="0.2">
      <c r="G183"/>
    </row>
    <row r="184" spans="7:7" ht="26.1" hidden="1" customHeight="1" x14ac:dyDescent="0.2">
      <c r="G184"/>
    </row>
    <row r="185" spans="7:7" ht="26.1" hidden="1" customHeight="1" x14ac:dyDescent="0.2">
      <c r="G185"/>
    </row>
    <row r="186" spans="7:7" ht="26.1" hidden="1" customHeight="1" x14ac:dyDescent="0.2">
      <c r="G186"/>
    </row>
    <row r="187" spans="7:7" ht="26.1" hidden="1" customHeight="1" x14ac:dyDescent="0.2">
      <c r="G187"/>
    </row>
    <row r="188" spans="7:7" ht="26.1" hidden="1" customHeight="1" x14ac:dyDescent="0.2">
      <c r="G188"/>
    </row>
    <row r="189" spans="7:7" ht="26.1" hidden="1" customHeight="1" x14ac:dyDescent="0.2">
      <c r="G189"/>
    </row>
    <row r="190" spans="7:7" ht="26.1" hidden="1" customHeight="1" x14ac:dyDescent="0.2">
      <c r="G190"/>
    </row>
    <row r="191" spans="7:7" ht="26.1" hidden="1" customHeight="1" x14ac:dyDescent="0.2">
      <c r="G191"/>
    </row>
    <row r="192" spans="7:7" ht="26.1" hidden="1" customHeight="1" x14ac:dyDescent="0.2">
      <c r="G192"/>
    </row>
    <row r="193" spans="7:7" ht="26.1" hidden="1" customHeight="1" x14ac:dyDescent="0.2">
      <c r="G193"/>
    </row>
    <row r="194" spans="7:7" ht="26.1" hidden="1" customHeight="1" x14ac:dyDescent="0.2">
      <c r="G194"/>
    </row>
    <row r="195" spans="7:7" ht="26.1" hidden="1" customHeight="1" x14ac:dyDescent="0.2">
      <c r="G195"/>
    </row>
    <row r="196" spans="7:7" ht="26.1" hidden="1" customHeight="1" x14ac:dyDescent="0.2">
      <c r="G196"/>
    </row>
    <row r="197" spans="7:7" ht="26.1" hidden="1" customHeight="1" x14ac:dyDescent="0.2">
      <c r="G197"/>
    </row>
    <row r="198" spans="7:7" ht="26.1" hidden="1" customHeight="1" x14ac:dyDescent="0.2">
      <c r="G198"/>
    </row>
    <row r="199" spans="7:7" ht="26.1" hidden="1" customHeight="1" x14ac:dyDescent="0.2">
      <c r="G199"/>
    </row>
    <row r="200" spans="7:7" ht="26.1" hidden="1" customHeight="1" x14ac:dyDescent="0.2">
      <c r="G200"/>
    </row>
    <row r="201" spans="7:7" ht="26.1" hidden="1" customHeight="1" x14ac:dyDescent="0.2">
      <c r="G201"/>
    </row>
    <row r="202" spans="7:7" ht="26.1" hidden="1" customHeight="1" x14ac:dyDescent="0.2">
      <c r="G202"/>
    </row>
    <row r="203" spans="7:7" ht="26.1" hidden="1" customHeight="1" x14ac:dyDescent="0.2">
      <c r="G203"/>
    </row>
    <row r="204" spans="7:7" ht="26.1" hidden="1" customHeight="1" x14ac:dyDescent="0.2">
      <c r="G204"/>
    </row>
    <row r="205" spans="7:7" ht="26.1" hidden="1" customHeight="1" x14ac:dyDescent="0.2">
      <c r="G205"/>
    </row>
    <row r="206" spans="7:7" ht="26.1" hidden="1" customHeight="1" x14ac:dyDescent="0.2">
      <c r="G206"/>
    </row>
    <row r="207" spans="7:7" ht="26.1" hidden="1" customHeight="1" x14ac:dyDescent="0.2">
      <c r="G207"/>
    </row>
    <row r="208" spans="7:7" ht="26.1" hidden="1" customHeight="1" x14ac:dyDescent="0.2">
      <c r="G208"/>
    </row>
    <row r="209" spans="7:8" ht="26.1" hidden="1" customHeight="1" x14ac:dyDescent="0.2">
      <c r="G209"/>
    </row>
    <row r="210" spans="7:8" ht="26.1" hidden="1" customHeight="1" x14ac:dyDescent="0.2">
      <c r="G210"/>
    </row>
    <row r="211" spans="7:8" ht="26.1" hidden="1" customHeight="1" x14ac:dyDescent="0.2">
      <c r="G211"/>
    </row>
    <row r="212" spans="7:8" ht="26.1" hidden="1" customHeight="1" x14ac:dyDescent="0.2"/>
    <row r="213" spans="7:8" ht="26.1" hidden="1" customHeight="1" x14ac:dyDescent="0.2"/>
    <row r="214" spans="7:8" ht="26.1" hidden="1" customHeight="1" x14ac:dyDescent="0.2">
      <c r="G214" s="25"/>
      <c r="H214" s="24"/>
    </row>
    <row r="215" spans="7:8" ht="26.1" hidden="1" customHeight="1" x14ac:dyDescent="0.2"/>
    <row r="216" spans="7:8" ht="12" hidden="1" x14ac:dyDescent="0.2"/>
    <row r="217" spans="7:8" ht="12" hidden="1" x14ac:dyDescent="0.2"/>
    <row r="218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2537-8D0F-4C01-811D-E67368C1E75D}">
  <dimension ref="A1:M166"/>
  <sheetViews>
    <sheetView zoomScale="70" zoomScaleNormal="70" workbookViewId="0">
      <selection activeCell="E9" sqref="E9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29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47" t="s">
        <v>793</v>
      </c>
      <c r="C3" s="47" t="s">
        <v>793</v>
      </c>
      <c r="D3" s="160">
        <v>23794.49</v>
      </c>
      <c r="E3" s="161">
        <v>3625</v>
      </c>
      <c r="F3" s="89">
        <v>45443</v>
      </c>
      <c r="G3"/>
    </row>
    <row r="4" spans="1:8" ht="26.1" customHeight="1" x14ac:dyDescent="0.2">
      <c r="A4" s="3">
        <v>2</v>
      </c>
      <c r="B4" s="47" t="s">
        <v>794</v>
      </c>
      <c r="C4" s="47" t="s">
        <v>795</v>
      </c>
      <c r="D4" s="160">
        <v>20211.95</v>
      </c>
      <c r="E4" s="161">
        <v>2838</v>
      </c>
      <c r="F4" s="89" t="s">
        <v>808</v>
      </c>
      <c r="G4"/>
    </row>
    <row r="5" spans="1:8" ht="26.1" customHeight="1" x14ac:dyDescent="0.2">
      <c r="A5" s="3">
        <v>3</v>
      </c>
      <c r="B5" s="47" t="s">
        <v>796</v>
      </c>
      <c r="C5" s="47" t="s">
        <v>797</v>
      </c>
      <c r="D5" s="160">
        <v>12469.39</v>
      </c>
      <c r="E5" s="161">
        <v>2035</v>
      </c>
      <c r="F5" s="89">
        <v>45471</v>
      </c>
      <c r="G5"/>
    </row>
    <row r="6" spans="1:8" ht="26.1" customHeight="1" x14ac:dyDescent="0.2">
      <c r="A6" s="3">
        <v>4</v>
      </c>
      <c r="B6" s="47" t="s">
        <v>798</v>
      </c>
      <c r="C6" s="47" t="s">
        <v>799</v>
      </c>
      <c r="D6" s="160">
        <v>11479.9</v>
      </c>
      <c r="E6" s="161">
        <v>1654</v>
      </c>
      <c r="F6" s="89">
        <v>45366</v>
      </c>
      <c r="G6"/>
    </row>
    <row r="7" spans="1:8" ht="26.1" customHeight="1" x14ac:dyDescent="0.2">
      <c r="A7" s="3">
        <v>5</v>
      </c>
      <c r="B7" s="47" t="s">
        <v>800</v>
      </c>
      <c r="C7" s="47" t="s">
        <v>801</v>
      </c>
      <c r="D7" s="160">
        <v>10360.81</v>
      </c>
      <c r="E7" s="161">
        <v>1726</v>
      </c>
      <c r="F7" s="89">
        <v>45555</v>
      </c>
      <c r="G7"/>
    </row>
    <row r="8" spans="1:8" ht="26.1" customHeight="1" x14ac:dyDescent="0.2">
      <c r="A8" s="3">
        <v>6</v>
      </c>
      <c r="B8" s="47" t="s">
        <v>802</v>
      </c>
      <c r="C8" s="47" t="s">
        <v>803</v>
      </c>
      <c r="D8" s="160">
        <v>9044.56</v>
      </c>
      <c r="E8" s="161">
        <v>1334</v>
      </c>
      <c r="F8" s="89">
        <v>45408</v>
      </c>
      <c r="G8"/>
    </row>
    <row r="9" spans="1:8" ht="26.1" customHeight="1" x14ac:dyDescent="0.2">
      <c r="A9" s="3">
        <v>7</v>
      </c>
      <c r="B9" s="47" t="s">
        <v>804</v>
      </c>
      <c r="C9" s="47" t="s">
        <v>805</v>
      </c>
      <c r="D9" s="160">
        <v>7961.66</v>
      </c>
      <c r="E9" s="161">
        <v>1131</v>
      </c>
      <c r="F9" s="89">
        <v>45597</v>
      </c>
      <c r="G9"/>
    </row>
    <row r="10" spans="1:8" ht="26.1" customHeight="1" x14ac:dyDescent="0.2">
      <c r="A10" s="3">
        <v>8</v>
      </c>
      <c r="B10" s="47" t="s">
        <v>806</v>
      </c>
      <c r="C10" s="47" t="s">
        <v>807</v>
      </c>
      <c r="D10" s="160">
        <v>4714</v>
      </c>
      <c r="E10" s="161">
        <v>727</v>
      </c>
      <c r="F10" s="89">
        <v>45576</v>
      </c>
      <c r="G10"/>
    </row>
    <row r="11" spans="1:8" ht="26.1" customHeight="1" x14ac:dyDescent="0.2">
      <c r="A11" s="116" t="s">
        <v>34</v>
      </c>
      <c r="B11" s="141" t="s">
        <v>33</v>
      </c>
      <c r="C11" s="141"/>
      <c r="D11" s="144">
        <f>SUBTOTAL(109,Travolta[
Pajamos])</f>
        <v>100036.76</v>
      </c>
      <c r="E11" s="145">
        <f>SUBTOTAL(109,Travolta[ 
Žiūrovai])</f>
        <v>15070</v>
      </c>
      <c r="F11" s="147"/>
      <c r="G11"/>
    </row>
    <row r="12" spans="1:8" ht="26.1" hidden="1" customHeight="1" x14ac:dyDescent="0.2">
      <c r="A12" s="26"/>
      <c r="B12" s="27"/>
      <c r="C12" s="27"/>
      <c r="D12" s="28"/>
      <c r="E12" s="29"/>
      <c r="F12" s="30"/>
      <c r="G12"/>
    </row>
    <row r="13" spans="1:8" ht="26.1" hidden="1" customHeight="1" x14ac:dyDescent="0.2">
      <c r="E13" s="8"/>
      <c r="F13"/>
      <c r="G13"/>
    </row>
    <row r="14" spans="1:8" ht="26.1" hidden="1" customHeight="1" x14ac:dyDescent="0.2">
      <c r="E14" s="25"/>
      <c r="F14"/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5.5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/>
    <row r="161" spans="7:8" ht="26.1" hidden="1" customHeight="1" x14ac:dyDescent="0.2"/>
    <row r="162" spans="7:8" ht="26.1" hidden="1" customHeight="1" x14ac:dyDescent="0.2">
      <c r="G162" s="25"/>
      <c r="H162" s="24"/>
    </row>
    <row r="163" spans="7:8" ht="26.1" hidden="1" customHeight="1" x14ac:dyDescent="0.2"/>
    <row r="164" spans="7:8" ht="12" hidden="1" x14ac:dyDescent="0.2"/>
    <row r="165" spans="7:8" ht="12" hidden="1" x14ac:dyDescent="0.2"/>
    <row r="166" spans="7:8" ht="12" hidden="1" x14ac:dyDescent="0.2"/>
  </sheetData>
  <mergeCells count="1">
    <mergeCell ref="A1:F1"/>
  </mergeCells>
  <conditionalFormatting sqref="B3">
    <cfRule type="duplicateValues" dxfId="81" priority="9"/>
  </conditionalFormatting>
  <conditionalFormatting sqref="B3:B7">
    <cfRule type="duplicateValues" dxfId="80" priority="8"/>
    <cfRule type="duplicateValues" dxfId="79" priority="10"/>
  </conditionalFormatting>
  <conditionalFormatting sqref="B3:B10">
    <cfRule type="duplicateValues" dxfId="78" priority="7"/>
  </conditionalFormatting>
  <conditionalFormatting sqref="B4">
    <cfRule type="duplicateValues" dxfId="77" priority="6"/>
  </conditionalFormatting>
  <conditionalFormatting sqref="B5:B7">
    <cfRule type="duplicateValues" dxfId="76" priority="5"/>
  </conditionalFormatting>
  <conditionalFormatting sqref="B8">
    <cfRule type="duplicateValues" dxfId="75" priority="3"/>
    <cfRule type="duplicateValues" dxfId="74" priority="4"/>
  </conditionalFormatting>
  <conditionalFormatting sqref="B9">
    <cfRule type="duplicateValues" dxfId="73" priority="2"/>
  </conditionalFormatting>
  <conditionalFormatting sqref="B10">
    <cfRule type="duplicateValues" dxfId="72" priority="1"/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8338-E7A2-49C9-A2F5-6405EF02E8F2}">
  <dimension ref="A1:M159"/>
  <sheetViews>
    <sheetView zoomScale="70" zoomScaleNormal="70" workbookViewId="0">
      <selection activeCell="A4" sqref="A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9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411</v>
      </c>
      <c r="C3" s="20" t="s">
        <v>411</v>
      </c>
      <c r="D3" s="6">
        <v>82435.039999999994</v>
      </c>
      <c r="E3" s="4">
        <v>11920</v>
      </c>
      <c r="F3" s="89">
        <v>45576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SUBTOTAL(109,Allscreens[
Pajamos])</f>
        <v>82435.039999999994</v>
      </c>
      <c r="E4" s="145">
        <f>SUBTOTAL(109,Allscreens[ 
Žiūrovai])</f>
        <v>11920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5714-8B52-487E-9D2E-A90CC0FCABA9}">
  <dimension ref="A1:M214"/>
  <sheetViews>
    <sheetView zoomScale="70" zoomScaleNormal="70" workbookViewId="0">
      <selection activeCell="B7" sqref="B7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72" t="s">
        <v>12</v>
      </c>
      <c r="B1" s="173"/>
      <c r="C1" s="173"/>
      <c r="D1" s="173"/>
      <c r="E1" s="173"/>
      <c r="F1" s="174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465</v>
      </c>
      <c r="C3" s="20" t="s">
        <v>466</v>
      </c>
      <c r="D3" s="6">
        <v>34066</v>
      </c>
      <c r="E3" s="4">
        <v>7020</v>
      </c>
      <c r="F3" s="93">
        <v>45317</v>
      </c>
      <c r="G3"/>
    </row>
    <row r="4" spans="1:8" ht="26.1" customHeight="1" x14ac:dyDescent="0.2">
      <c r="A4" s="3">
        <v>2</v>
      </c>
      <c r="B4" s="20" t="s">
        <v>467</v>
      </c>
      <c r="C4" s="20" t="s">
        <v>468</v>
      </c>
      <c r="D4" s="6">
        <v>27566</v>
      </c>
      <c r="E4" s="4">
        <v>5694</v>
      </c>
      <c r="F4" s="93">
        <v>45520</v>
      </c>
      <c r="G4"/>
    </row>
    <row r="5" spans="1:8" ht="26.1" customHeight="1" x14ac:dyDescent="0.2">
      <c r="A5" s="3">
        <v>3</v>
      </c>
      <c r="B5" s="20" t="s">
        <v>469</v>
      </c>
      <c r="C5" s="20" t="s">
        <v>470</v>
      </c>
      <c r="D5" s="6">
        <v>7740.83</v>
      </c>
      <c r="E5" s="4">
        <v>1119</v>
      </c>
      <c r="F5" s="93">
        <v>45548</v>
      </c>
      <c r="G5"/>
    </row>
    <row r="6" spans="1:8" ht="26.1" customHeight="1" x14ac:dyDescent="0.2">
      <c r="A6" s="3">
        <v>4</v>
      </c>
      <c r="B6" s="20" t="s">
        <v>471</v>
      </c>
      <c r="C6" s="20" t="s">
        <v>472</v>
      </c>
      <c r="D6" s="6">
        <v>5170.92</v>
      </c>
      <c r="E6" s="4">
        <v>895</v>
      </c>
      <c r="F6" s="93">
        <v>45527</v>
      </c>
      <c r="G6"/>
    </row>
    <row r="7" spans="1:8" ht="26.1" customHeight="1" x14ac:dyDescent="0.2">
      <c r="A7" s="3">
        <v>5</v>
      </c>
      <c r="B7" s="20" t="s">
        <v>473</v>
      </c>
      <c r="C7" s="20" t="s">
        <v>474</v>
      </c>
      <c r="D7" s="6">
        <v>4958.47</v>
      </c>
      <c r="E7" s="4">
        <v>695</v>
      </c>
      <c r="F7" s="93">
        <v>45604</v>
      </c>
      <c r="G7"/>
    </row>
    <row r="8" spans="1:8" ht="26.1" customHeight="1" x14ac:dyDescent="0.2">
      <c r="A8" s="3">
        <v>6</v>
      </c>
      <c r="B8" s="20" t="s">
        <v>475</v>
      </c>
      <c r="C8" s="20" t="s">
        <v>476</v>
      </c>
      <c r="D8" s="6">
        <v>1744</v>
      </c>
      <c r="E8" s="4">
        <v>331</v>
      </c>
      <c r="F8" s="93">
        <v>45422</v>
      </c>
      <c r="G8"/>
    </row>
    <row r="9" spans="1:8" ht="26.1" customHeight="1" x14ac:dyDescent="0.2">
      <c r="A9" s="116" t="s">
        <v>34</v>
      </c>
      <c r="B9" s="141" t="s">
        <v>33</v>
      </c>
      <c r="C9" s="141"/>
      <c r="D9" s="144">
        <f>SUBTOTAL(109,BCM[
Pajamos])</f>
        <v>81246.22</v>
      </c>
      <c r="E9" s="145">
        <f>SUBTOTAL(109,BCM[ 
Žiūrovai])</f>
        <v>15754</v>
      </c>
      <c r="F9" s="147"/>
      <c r="G9"/>
    </row>
    <row r="10" spans="1:8" ht="26.1" hidden="1" customHeight="1" x14ac:dyDescent="0.2">
      <c r="A10" s="26"/>
      <c r="B10" s="27"/>
      <c r="C10" s="27"/>
      <c r="D10" s="28"/>
      <c r="E10" s="29"/>
      <c r="F10" s="30"/>
      <c r="G10"/>
    </row>
    <row r="11" spans="1:8" ht="26.1" hidden="1" customHeight="1" x14ac:dyDescent="0.2">
      <c r="E11" s="8"/>
      <c r="F11"/>
      <c r="G11"/>
    </row>
    <row r="12" spans="1:8" ht="26.1" hidden="1" customHeight="1" x14ac:dyDescent="0.2">
      <c r="E12" s="25"/>
      <c r="F12"/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7" ht="26.1" hidden="1" customHeight="1" x14ac:dyDescent="0.2">
      <c r="G177"/>
    </row>
    <row r="178" spans="7:7" ht="26.1" hidden="1" customHeight="1" x14ac:dyDescent="0.2">
      <c r="G178"/>
    </row>
    <row r="179" spans="7:7" ht="26.1" hidden="1" customHeight="1" x14ac:dyDescent="0.2">
      <c r="G179"/>
    </row>
    <row r="180" spans="7:7" ht="26.1" hidden="1" customHeight="1" x14ac:dyDescent="0.2">
      <c r="G180"/>
    </row>
    <row r="181" spans="7:7" ht="26.1" hidden="1" customHeight="1" x14ac:dyDescent="0.2">
      <c r="G181"/>
    </row>
    <row r="182" spans="7:7" ht="26.1" hidden="1" customHeight="1" x14ac:dyDescent="0.2">
      <c r="G182"/>
    </row>
    <row r="183" spans="7:7" ht="26.1" hidden="1" customHeight="1" x14ac:dyDescent="0.2">
      <c r="G183"/>
    </row>
    <row r="184" spans="7:7" ht="26.1" hidden="1" customHeight="1" x14ac:dyDescent="0.2">
      <c r="G184"/>
    </row>
    <row r="185" spans="7:7" ht="26.1" hidden="1" customHeight="1" x14ac:dyDescent="0.2">
      <c r="G185"/>
    </row>
    <row r="186" spans="7:7" ht="26.1" hidden="1" customHeight="1" x14ac:dyDescent="0.2">
      <c r="G186"/>
    </row>
    <row r="187" spans="7:7" ht="26.1" hidden="1" customHeight="1" x14ac:dyDescent="0.2">
      <c r="G187"/>
    </row>
    <row r="188" spans="7:7" ht="26.1" hidden="1" customHeight="1" x14ac:dyDescent="0.2">
      <c r="G188"/>
    </row>
    <row r="189" spans="7:7" ht="26.1" hidden="1" customHeight="1" x14ac:dyDescent="0.2">
      <c r="G189"/>
    </row>
    <row r="190" spans="7:7" ht="26.1" hidden="1" customHeight="1" x14ac:dyDescent="0.2">
      <c r="G190"/>
    </row>
    <row r="191" spans="7:7" ht="26.1" hidden="1" customHeight="1" x14ac:dyDescent="0.2">
      <c r="G191"/>
    </row>
    <row r="192" spans="7:7" ht="26.1" hidden="1" customHeight="1" x14ac:dyDescent="0.2">
      <c r="G192"/>
    </row>
    <row r="193" spans="7:7" ht="26.1" hidden="1" customHeight="1" x14ac:dyDescent="0.2">
      <c r="G193"/>
    </row>
    <row r="194" spans="7:7" ht="26.1" hidden="1" customHeight="1" x14ac:dyDescent="0.2">
      <c r="G194"/>
    </row>
    <row r="195" spans="7:7" ht="26.1" hidden="1" customHeight="1" x14ac:dyDescent="0.2">
      <c r="G195"/>
    </row>
    <row r="196" spans="7:7" ht="26.1" hidden="1" customHeight="1" x14ac:dyDescent="0.2">
      <c r="G196"/>
    </row>
    <row r="197" spans="7:7" ht="26.1" hidden="1" customHeight="1" x14ac:dyDescent="0.2">
      <c r="G197"/>
    </row>
    <row r="198" spans="7:7" ht="26.1" hidden="1" customHeight="1" x14ac:dyDescent="0.2">
      <c r="G198"/>
    </row>
    <row r="199" spans="7:7" ht="26.1" hidden="1" customHeight="1" x14ac:dyDescent="0.2">
      <c r="G199"/>
    </row>
    <row r="200" spans="7:7" ht="26.1" hidden="1" customHeight="1" x14ac:dyDescent="0.2">
      <c r="G200"/>
    </row>
    <row r="201" spans="7:7" ht="26.1" hidden="1" customHeight="1" x14ac:dyDescent="0.2">
      <c r="G201"/>
    </row>
    <row r="202" spans="7:7" ht="26.1" hidden="1" customHeight="1" x14ac:dyDescent="0.2">
      <c r="G202"/>
    </row>
    <row r="203" spans="7:7" ht="26.1" hidden="1" customHeight="1" x14ac:dyDescent="0.2">
      <c r="G203"/>
    </row>
    <row r="204" spans="7:7" ht="26.1" hidden="1" customHeight="1" x14ac:dyDescent="0.2">
      <c r="G204"/>
    </row>
    <row r="205" spans="7:7" ht="26.1" hidden="1" customHeight="1" x14ac:dyDescent="0.2">
      <c r="G205"/>
    </row>
    <row r="206" spans="7:7" ht="26.1" hidden="1" customHeight="1" x14ac:dyDescent="0.2">
      <c r="G206"/>
    </row>
    <row r="207" spans="7:7" ht="26.1" hidden="1" customHeight="1" x14ac:dyDescent="0.2">
      <c r="G207"/>
    </row>
    <row r="208" spans="7:7" ht="26.1" hidden="1" customHeight="1" x14ac:dyDescent="0.2"/>
    <row r="209" spans="7:8" ht="26.1" hidden="1" customHeight="1" x14ac:dyDescent="0.2"/>
    <row r="210" spans="7:8" ht="26.1" hidden="1" customHeight="1" x14ac:dyDescent="0.2">
      <c r="G210" s="25"/>
      <c r="H210" s="24"/>
    </row>
    <row r="211" spans="7:8" ht="26.1" hidden="1" customHeight="1" x14ac:dyDescent="0.2"/>
    <row r="212" spans="7:8" ht="12" hidden="1" x14ac:dyDescent="0.2"/>
    <row r="213" spans="7:8" ht="12" hidden="1" x14ac:dyDescent="0.2"/>
    <row r="214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98D1-A70B-4EB8-9F04-CEC89ED2209D}">
  <dimension ref="A1:M222"/>
  <sheetViews>
    <sheetView zoomScale="70" zoomScaleNormal="70" workbookViewId="0">
      <selection activeCell="B20" sqref="B20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72" t="s">
        <v>17</v>
      </c>
      <c r="B1" s="173"/>
      <c r="C1" s="173"/>
      <c r="D1" s="173"/>
      <c r="E1" s="173"/>
      <c r="F1" s="174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752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515</v>
      </c>
      <c r="C3" s="20" t="s">
        <v>516</v>
      </c>
      <c r="D3" s="6">
        <v>7249.26</v>
      </c>
      <c r="E3" s="4">
        <v>1297</v>
      </c>
      <c r="F3" s="93">
        <v>45296</v>
      </c>
      <c r="G3"/>
    </row>
    <row r="4" spans="1:8" ht="26.1" customHeight="1" x14ac:dyDescent="0.2">
      <c r="A4" s="3">
        <v>2</v>
      </c>
      <c r="B4" s="20" t="s">
        <v>517</v>
      </c>
      <c r="C4" s="20" t="s">
        <v>518</v>
      </c>
      <c r="D4" s="6">
        <v>7217.7</v>
      </c>
      <c r="E4" s="4">
        <v>1428</v>
      </c>
      <c r="F4" s="93">
        <v>45492</v>
      </c>
      <c r="G4"/>
    </row>
    <row r="5" spans="1:8" ht="26.1" customHeight="1" x14ac:dyDescent="0.2">
      <c r="A5" s="3">
        <v>3</v>
      </c>
      <c r="B5" s="20" t="s">
        <v>519</v>
      </c>
      <c r="C5" s="20" t="s">
        <v>520</v>
      </c>
      <c r="D5" s="6">
        <v>5291.19</v>
      </c>
      <c r="E5" s="4">
        <v>1576</v>
      </c>
      <c r="F5" s="93">
        <v>45625</v>
      </c>
      <c r="G5"/>
    </row>
    <row r="6" spans="1:8" ht="26.1" customHeight="1" x14ac:dyDescent="0.2">
      <c r="A6" s="3">
        <v>4</v>
      </c>
      <c r="B6" s="20" t="s">
        <v>521</v>
      </c>
      <c r="C6" s="20" t="s">
        <v>522</v>
      </c>
      <c r="D6" s="6">
        <v>3689.5</v>
      </c>
      <c r="E6" s="4">
        <v>1119</v>
      </c>
      <c r="F6" s="93">
        <v>45317</v>
      </c>
      <c r="G6"/>
    </row>
    <row r="7" spans="1:8" ht="26.1" customHeight="1" x14ac:dyDescent="0.2">
      <c r="A7" s="3">
        <v>5</v>
      </c>
      <c r="B7" s="20" t="s">
        <v>523</v>
      </c>
      <c r="C7" s="20" t="s">
        <v>524</v>
      </c>
      <c r="D7" s="6">
        <v>2428.58</v>
      </c>
      <c r="E7" s="4">
        <v>439</v>
      </c>
      <c r="F7" s="93">
        <v>45457</v>
      </c>
      <c r="G7"/>
    </row>
    <row r="8" spans="1:8" ht="26.1" customHeight="1" x14ac:dyDescent="0.2">
      <c r="A8" s="3">
        <v>6</v>
      </c>
      <c r="B8" s="20" t="s">
        <v>525</v>
      </c>
      <c r="C8" s="20" t="s">
        <v>526</v>
      </c>
      <c r="D8" s="6">
        <v>2234</v>
      </c>
      <c r="E8" s="4">
        <v>592</v>
      </c>
      <c r="F8" s="93">
        <v>45233</v>
      </c>
      <c r="G8"/>
    </row>
    <row r="9" spans="1:8" ht="26.1" customHeight="1" x14ac:dyDescent="0.2">
      <c r="A9" s="3">
        <v>7</v>
      </c>
      <c r="B9" s="20" t="s">
        <v>527</v>
      </c>
      <c r="C9" s="20" t="s">
        <v>528</v>
      </c>
      <c r="D9" s="6">
        <v>2192.37</v>
      </c>
      <c r="E9" s="4">
        <v>510</v>
      </c>
      <c r="F9" s="93">
        <v>45289</v>
      </c>
      <c r="G9"/>
    </row>
    <row r="10" spans="1:8" ht="26.1" customHeight="1" x14ac:dyDescent="0.2">
      <c r="A10" s="3">
        <v>8</v>
      </c>
      <c r="B10" s="20" t="s">
        <v>529</v>
      </c>
      <c r="C10" s="20" t="s">
        <v>530</v>
      </c>
      <c r="D10" s="6">
        <v>1990.5</v>
      </c>
      <c r="E10" s="4">
        <v>553</v>
      </c>
      <c r="F10" s="93">
        <v>45352</v>
      </c>
      <c r="G10"/>
    </row>
    <row r="11" spans="1:8" ht="26.1" customHeight="1" x14ac:dyDescent="0.2">
      <c r="A11" s="3">
        <v>9</v>
      </c>
      <c r="B11" s="20" t="s">
        <v>531</v>
      </c>
      <c r="C11" s="20" t="s">
        <v>532</v>
      </c>
      <c r="D11" s="6">
        <v>1485.26</v>
      </c>
      <c r="E11" s="4">
        <v>289</v>
      </c>
      <c r="F11" s="93">
        <v>45569</v>
      </c>
      <c r="G11"/>
    </row>
    <row r="12" spans="1:8" ht="26.1" customHeight="1" x14ac:dyDescent="0.2">
      <c r="A12" s="3">
        <v>10</v>
      </c>
      <c r="B12" s="20" t="s">
        <v>533</v>
      </c>
      <c r="C12" s="20" t="s">
        <v>534</v>
      </c>
      <c r="D12" s="6">
        <v>1360.48</v>
      </c>
      <c r="E12" s="4">
        <v>418</v>
      </c>
      <c r="F12" s="93">
        <v>44602</v>
      </c>
      <c r="G12"/>
    </row>
    <row r="13" spans="1:8" ht="26.1" customHeight="1" x14ac:dyDescent="0.2">
      <c r="A13" s="3">
        <v>11</v>
      </c>
      <c r="B13" s="20" t="s">
        <v>535</v>
      </c>
      <c r="C13" s="20" t="s">
        <v>536</v>
      </c>
      <c r="D13" s="6">
        <v>1185.6099999999999</v>
      </c>
      <c r="E13" s="4">
        <v>309</v>
      </c>
      <c r="F13" s="93">
        <v>45331</v>
      </c>
      <c r="G13"/>
    </row>
    <row r="14" spans="1:8" ht="26.1" customHeight="1" x14ac:dyDescent="0.2">
      <c r="A14" s="3">
        <v>12</v>
      </c>
      <c r="B14" s="20" t="s">
        <v>537</v>
      </c>
      <c r="C14" s="20" t="s">
        <v>538</v>
      </c>
      <c r="D14" s="6">
        <v>970</v>
      </c>
      <c r="E14" s="4">
        <v>245</v>
      </c>
      <c r="F14" s="93">
        <v>44673</v>
      </c>
      <c r="G14"/>
    </row>
    <row r="15" spans="1:8" ht="26.1" customHeight="1" x14ac:dyDescent="0.2">
      <c r="A15" s="3">
        <v>13</v>
      </c>
      <c r="B15" s="20" t="s">
        <v>539</v>
      </c>
      <c r="C15" s="20" t="s">
        <v>540</v>
      </c>
      <c r="D15" s="6">
        <v>937</v>
      </c>
      <c r="E15" s="4">
        <v>284</v>
      </c>
      <c r="F15" s="93">
        <v>44694</v>
      </c>
      <c r="G15"/>
    </row>
    <row r="16" spans="1:8" ht="26.1" customHeight="1" x14ac:dyDescent="0.2">
      <c r="A16" s="3">
        <v>14</v>
      </c>
      <c r="B16" s="20" t="s">
        <v>541</v>
      </c>
      <c r="C16" s="20" t="s">
        <v>542</v>
      </c>
      <c r="D16" s="6">
        <v>883.5</v>
      </c>
      <c r="E16" s="4">
        <v>141</v>
      </c>
      <c r="F16" s="93">
        <v>45618</v>
      </c>
      <c r="G16"/>
    </row>
    <row r="17" spans="1:7" ht="26.1" customHeight="1" x14ac:dyDescent="0.2">
      <c r="A17" s="3">
        <v>15</v>
      </c>
      <c r="B17" s="20" t="s">
        <v>543</v>
      </c>
      <c r="C17" s="20" t="s">
        <v>544</v>
      </c>
      <c r="D17" s="6">
        <v>631.79999999999995</v>
      </c>
      <c r="E17" s="4">
        <v>104</v>
      </c>
      <c r="F17" s="93">
        <v>45597</v>
      </c>
      <c r="G17"/>
    </row>
    <row r="18" spans="1:7" ht="26.1" customHeight="1" x14ac:dyDescent="0.2">
      <c r="A18" s="3">
        <v>16</v>
      </c>
      <c r="B18" s="20" t="s">
        <v>545</v>
      </c>
      <c r="C18" s="20" t="s">
        <v>546</v>
      </c>
      <c r="D18" s="6">
        <v>592</v>
      </c>
      <c r="E18" s="4">
        <v>104</v>
      </c>
      <c r="F18" s="93">
        <v>45170</v>
      </c>
      <c r="G18"/>
    </row>
    <row r="19" spans="1:7" ht="26.1" customHeight="1" x14ac:dyDescent="0.2">
      <c r="A19" s="3">
        <v>17</v>
      </c>
      <c r="B19" s="20" t="s">
        <v>547</v>
      </c>
      <c r="C19" s="20" t="s">
        <v>548</v>
      </c>
      <c r="D19" s="6">
        <v>522</v>
      </c>
      <c r="E19" s="4">
        <v>328</v>
      </c>
      <c r="F19" s="93">
        <v>44939</v>
      </c>
      <c r="G19"/>
    </row>
    <row r="20" spans="1:7" ht="26.1" customHeight="1" x14ac:dyDescent="0.2">
      <c r="A20" s="3">
        <v>18</v>
      </c>
      <c r="B20" s="20" t="s">
        <v>549</v>
      </c>
      <c r="C20" s="20" t="s">
        <v>550</v>
      </c>
      <c r="D20" s="6">
        <v>470.5</v>
      </c>
      <c r="E20" s="4">
        <v>94</v>
      </c>
      <c r="F20" s="93">
        <v>45191</v>
      </c>
      <c r="G20"/>
    </row>
    <row r="21" spans="1:7" ht="26.1" customHeight="1" x14ac:dyDescent="0.2">
      <c r="A21" s="3">
        <v>19</v>
      </c>
      <c r="B21" s="20" t="s">
        <v>551</v>
      </c>
      <c r="C21" s="20" t="s">
        <v>552</v>
      </c>
      <c r="D21" s="6">
        <v>100</v>
      </c>
      <c r="E21" s="4">
        <v>20</v>
      </c>
      <c r="F21" s="93">
        <v>44883</v>
      </c>
      <c r="G21"/>
    </row>
    <row r="22" spans="1:7" ht="26.1" customHeight="1" x14ac:dyDescent="0.2">
      <c r="A22" s="3">
        <v>20</v>
      </c>
      <c r="B22" s="20" t="s">
        <v>553</v>
      </c>
      <c r="C22" s="20" t="s">
        <v>554</v>
      </c>
      <c r="D22" s="6">
        <v>99</v>
      </c>
      <c r="E22" s="4">
        <v>18</v>
      </c>
      <c r="F22" s="93">
        <v>44331</v>
      </c>
      <c r="G22"/>
    </row>
    <row r="23" spans="1:7" ht="26.1" customHeight="1" x14ac:dyDescent="0.2">
      <c r="A23" s="116" t="s">
        <v>34</v>
      </c>
      <c r="B23" s="141" t="s">
        <v>33</v>
      </c>
      <c r="C23" s="141"/>
      <c r="D23" s="144">
        <f>SUBTOTAL(109,Estinfilm[
Pajamos])</f>
        <v>41530.25</v>
      </c>
      <c r="E23" s="145">
        <f>SUBTOTAL(109,Estinfilm[ 
Žiūrovai])</f>
        <v>9868</v>
      </c>
      <c r="F23" s="147"/>
      <c r="G23"/>
    </row>
    <row r="24" spans="1:7" ht="26.1" hidden="1" customHeight="1" x14ac:dyDescent="0.2">
      <c r="A24" s="26"/>
      <c r="B24" s="27"/>
      <c r="C24" s="27"/>
      <c r="D24" s="28"/>
      <c r="E24" s="29"/>
      <c r="F24" s="30"/>
      <c r="G24"/>
    </row>
    <row r="25" spans="1:7" ht="26.1" hidden="1" customHeight="1" x14ac:dyDescent="0.2">
      <c r="E25" s="8"/>
      <c r="F25"/>
      <c r="G25"/>
    </row>
    <row r="26" spans="1:7" ht="26.1" hidden="1" customHeight="1" x14ac:dyDescent="0.2">
      <c r="E26" s="25"/>
      <c r="F26"/>
      <c r="G26"/>
    </row>
    <row r="27" spans="1:7" ht="26.1" hidden="1" customHeight="1" x14ac:dyDescent="0.2">
      <c r="G27"/>
    </row>
    <row r="28" spans="1:7" ht="26.1" hidden="1" customHeight="1" x14ac:dyDescent="0.2">
      <c r="G28"/>
    </row>
    <row r="29" spans="1:7" ht="26.1" hidden="1" customHeight="1" x14ac:dyDescent="0.2">
      <c r="G29"/>
    </row>
    <row r="30" spans="1:7" ht="26.1" hidden="1" customHeight="1" x14ac:dyDescent="0.2">
      <c r="G30"/>
    </row>
    <row r="31" spans="1:7" ht="26.1" hidden="1" customHeight="1" x14ac:dyDescent="0.2"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7" ht="26.1" hidden="1" customHeight="1" x14ac:dyDescent="0.2">
      <c r="G177"/>
    </row>
    <row r="178" spans="7:7" ht="26.1" hidden="1" customHeight="1" x14ac:dyDescent="0.2">
      <c r="G178"/>
    </row>
    <row r="179" spans="7:7" ht="26.1" hidden="1" customHeight="1" x14ac:dyDescent="0.2">
      <c r="G179"/>
    </row>
    <row r="180" spans="7:7" ht="26.1" hidden="1" customHeight="1" x14ac:dyDescent="0.2">
      <c r="G180"/>
    </row>
    <row r="181" spans="7:7" ht="26.1" hidden="1" customHeight="1" x14ac:dyDescent="0.2">
      <c r="G181"/>
    </row>
    <row r="182" spans="7:7" ht="26.1" hidden="1" customHeight="1" x14ac:dyDescent="0.2">
      <c r="G182"/>
    </row>
    <row r="183" spans="7:7" ht="26.1" hidden="1" customHeight="1" x14ac:dyDescent="0.2">
      <c r="G183"/>
    </row>
    <row r="184" spans="7:7" ht="26.1" hidden="1" customHeight="1" x14ac:dyDescent="0.2">
      <c r="G184"/>
    </row>
    <row r="185" spans="7:7" ht="26.1" hidden="1" customHeight="1" x14ac:dyDescent="0.2">
      <c r="G185"/>
    </row>
    <row r="186" spans="7:7" ht="26.1" hidden="1" customHeight="1" x14ac:dyDescent="0.2">
      <c r="G186"/>
    </row>
    <row r="187" spans="7:7" ht="26.1" hidden="1" customHeight="1" x14ac:dyDescent="0.2">
      <c r="G187"/>
    </row>
    <row r="188" spans="7:7" ht="26.1" hidden="1" customHeight="1" x14ac:dyDescent="0.2">
      <c r="G188"/>
    </row>
    <row r="189" spans="7:7" ht="26.1" hidden="1" customHeight="1" x14ac:dyDescent="0.2">
      <c r="G189"/>
    </row>
    <row r="190" spans="7:7" ht="26.1" hidden="1" customHeight="1" x14ac:dyDescent="0.2">
      <c r="G190"/>
    </row>
    <row r="191" spans="7:7" ht="26.1" hidden="1" customHeight="1" x14ac:dyDescent="0.2">
      <c r="G191"/>
    </row>
    <row r="192" spans="7:7" ht="26.1" hidden="1" customHeight="1" x14ac:dyDescent="0.2">
      <c r="G192"/>
    </row>
    <row r="193" spans="7:7" ht="26.1" hidden="1" customHeight="1" x14ac:dyDescent="0.2">
      <c r="G193"/>
    </row>
    <row r="194" spans="7:7" ht="26.1" hidden="1" customHeight="1" x14ac:dyDescent="0.2">
      <c r="G194"/>
    </row>
    <row r="195" spans="7:7" ht="26.1" hidden="1" customHeight="1" x14ac:dyDescent="0.2">
      <c r="G195"/>
    </row>
    <row r="196" spans="7:7" ht="26.1" hidden="1" customHeight="1" x14ac:dyDescent="0.2">
      <c r="G196"/>
    </row>
    <row r="197" spans="7:7" ht="26.1" hidden="1" customHeight="1" x14ac:dyDescent="0.2">
      <c r="G197"/>
    </row>
    <row r="198" spans="7:7" ht="26.1" hidden="1" customHeight="1" x14ac:dyDescent="0.2">
      <c r="G198"/>
    </row>
    <row r="199" spans="7:7" ht="26.1" hidden="1" customHeight="1" x14ac:dyDescent="0.2">
      <c r="G199"/>
    </row>
    <row r="200" spans="7:7" ht="26.1" hidden="1" customHeight="1" x14ac:dyDescent="0.2">
      <c r="G200"/>
    </row>
    <row r="201" spans="7:7" ht="26.1" hidden="1" customHeight="1" x14ac:dyDescent="0.2">
      <c r="G201"/>
    </row>
    <row r="202" spans="7:7" ht="26.1" hidden="1" customHeight="1" x14ac:dyDescent="0.2">
      <c r="G202"/>
    </row>
    <row r="203" spans="7:7" ht="26.1" hidden="1" customHeight="1" x14ac:dyDescent="0.2">
      <c r="G203"/>
    </row>
    <row r="204" spans="7:7" ht="26.1" hidden="1" customHeight="1" x14ac:dyDescent="0.2">
      <c r="G204"/>
    </row>
    <row r="205" spans="7:7" ht="26.1" hidden="1" customHeight="1" x14ac:dyDescent="0.2">
      <c r="G205"/>
    </row>
    <row r="206" spans="7:7" ht="26.1" hidden="1" customHeight="1" x14ac:dyDescent="0.2">
      <c r="G206"/>
    </row>
    <row r="207" spans="7:7" ht="26.1" hidden="1" customHeight="1" x14ac:dyDescent="0.2">
      <c r="G207"/>
    </row>
    <row r="208" spans="7:7" ht="26.1" hidden="1" customHeight="1" x14ac:dyDescent="0.2">
      <c r="G208"/>
    </row>
    <row r="209" spans="7:8" ht="26.1" hidden="1" customHeight="1" x14ac:dyDescent="0.2">
      <c r="G209"/>
    </row>
    <row r="210" spans="7:8" ht="26.1" hidden="1" customHeight="1" x14ac:dyDescent="0.2">
      <c r="G210"/>
    </row>
    <row r="211" spans="7:8" ht="26.1" hidden="1" customHeight="1" x14ac:dyDescent="0.2">
      <c r="G211"/>
    </row>
    <row r="212" spans="7:8" ht="26.1" hidden="1" customHeight="1" x14ac:dyDescent="0.2">
      <c r="G212"/>
    </row>
    <row r="213" spans="7:8" ht="26.1" hidden="1" customHeight="1" x14ac:dyDescent="0.2">
      <c r="G213"/>
    </row>
    <row r="214" spans="7:8" ht="26.1" hidden="1" customHeight="1" x14ac:dyDescent="0.2">
      <c r="G214"/>
    </row>
    <row r="215" spans="7:8" ht="26.1" hidden="1" customHeight="1" x14ac:dyDescent="0.2">
      <c r="G215"/>
    </row>
    <row r="216" spans="7:8" ht="26.1" hidden="1" customHeight="1" x14ac:dyDescent="0.2"/>
    <row r="217" spans="7:8" ht="26.1" hidden="1" customHeight="1" x14ac:dyDescent="0.2"/>
    <row r="218" spans="7:8" ht="26.1" hidden="1" customHeight="1" x14ac:dyDescent="0.2">
      <c r="G218" s="25"/>
      <c r="H218" s="24"/>
    </row>
    <row r="219" spans="7:8" ht="26.1" hidden="1" customHeight="1" x14ac:dyDescent="0.2"/>
    <row r="220" spans="7:8" ht="12" hidden="1" x14ac:dyDescent="0.2"/>
    <row r="221" spans="7:8" ht="12" hidden="1" x14ac:dyDescent="0.2"/>
    <row r="222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D1DF-387A-426C-9259-EFD58F5FBC47}">
  <dimension ref="A1:M228"/>
  <sheetViews>
    <sheetView zoomScale="70" zoomScaleNormal="70" workbookViewId="0">
      <selection activeCell="D5" sqref="D5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72" t="s">
        <v>26</v>
      </c>
      <c r="B1" s="173"/>
      <c r="C1" s="173"/>
      <c r="D1" s="173"/>
      <c r="E1" s="173"/>
      <c r="F1" s="174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752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753</v>
      </c>
      <c r="C3" s="20" t="s">
        <v>754</v>
      </c>
      <c r="D3" s="6">
        <v>5876</v>
      </c>
      <c r="E3" s="4">
        <v>1452</v>
      </c>
      <c r="F3" s="93">
        <v>44807</v>
      </c>
      <c r="G3"/>
    </row>
    <row r="4" spans="1:8" ht="26.1" customHeight="1" x14ac:dyDescent="0.2">
      <c r="A4" s="3">
        <v>2</v>
      </c>
      <c r="B4" s="20" t="s">
        <v>755</v>
      </c>
      <c r="C4" s="20" t="s">
        <v>756</v>
      </c>
      <c r="D4" s="6">
        <v>5753</v>
      </c>
      <c r="E4" s="4">
        <v>1424</v>
      </c>
      <c r="F4" s="93">
        <v>45592</v>
      </c>
      <c r="G4"/>
    </row>
    <row r="5" spans="1:8" ht="26.1" customHeight="1" x14ac:dyDescent="0.2">
      <c r="A5" s="3">
        <v>3</v>
      </c>
      <c r="B5" s="20" t="s">
        <v>757</v>
      </c>
      <c r="C5" s="20" t="s">
        <v>758</v>
      </c>
      <c r="D5" s="6">
        <v>5134</v>
      </c>
      <c r="E5" s="4">
        <v>1313</v>
      </c>
      <c r="F5" s="93">
        <v>42654</v>
      </c>
      <c r="G5"/>
    </row>
    <row r="6" spans="1:8" ht="26.1" customHeight="1" x14ac:dyDescent="0.2">
      <c r="A6" s="3">
        <v>4</v>
      </c>
      <c r="B6" s="20" t="s">
        <v>759</v>
      </c>
      <c r="C6" s="20" t="s">
        <v>760</v>
      </c>
      <c r="D6" s="6">
        <v>4504</v>
      </c>
      <c r="E6" s="4">
        <v>1200</v>
      </c>
      <c r="F6" s="93">
        <v>44716</v>
      </c>
      <c r="G6"/>
    </row>
    <row r="7" spans="1:8" ht="26.1" customHeight="1" x14ac:dyDescent="0.2">
      <c r="A7" s="3">
        <v>5</v>
      </c>
      <c r="B7" s="20" t="s">
        <v>761</v>
      </c>
      <c r="C7" s="20" t="s">
        <v>762</v>
      </c>
      <c r="D7" s="6">
        <v>3344</v>
      </c>
      <c r="E7" s="4">
        <v>811</v>
      </c>
      <c r="F7" s="93">
        <v>45214</v>
      </c>
      <c r="G7"/>
    </row>
    <row r="8" spans="1:8" ht="26.1" customHeight="1" x14ac:dyDescent="0.2">
      <c r="A8" s="3">
        <v>6</v>
      </c>
      <c r="B8" s="20" t="s">
        <v>763</v>
      </c>
      <c r="C8" s="20" t="s">
        <v>764</v>
      </c>
      <c r="D8" s="6">
        <v>3107</v>
      </c>
      <c r="E8" s="4">
        <v>639</v>
      </c>
      <c r="F8" s="93">
        <v>45371</v>
      </c>
      <c r="G8"/>
    </row>
    <row r="9" spans="1:8" ht="26.1" customHeight="1" x14ac:dyDescent="0.2">
      <c r="A9" s="3">
        <v>7</v>
      </c>
      <c r="B9" s="20" t="s">
        <v>765</v>
      </c>
      <c r="C9" s="20" t="s">
        <v>766</v>
      </c>
      <c r="D9" s="6">
        <v>2753</v>
      </c>
      <c r="E9" s="4">
        <v>847</v>
      </c>
      <c r="F9" s="93">
        <v>45564</v>
      </c>
      <c r="G9"/>
    </row>
    <row r="10" spans="1:8" ht="26.1" customHeight="1" x14ac:dyDescent="0.2">
      <c r="A10" s="3">
        <v>8</v>
      </c>
      <c r="B10" s="20" t="s">
        <v>767</v>
      </c>
      <c r="C10" s="20" t="s">
        <v>768</v>
      </c>
      <c r="D10" s="6">
        <v>2129</v>
      </c>
      <c r="E10" s="4">
        <v>522</v>
      </c>
      <c r="F10" s="93">
        <v>42988</v>
      </c>
      <c r="G10"/>
    </row>
    <row r="11" spans="1:8" ht="26.1" customHeight="1" x14ac:dyDescent="0.2">
      <c r="A11" s="3">
        <v>9</v>
      </c>
      <c r="B11" s="20" t="s">
        <v>769</v>
      </c>
      <c r="C11" s="20" t="s">
        <v>770</v>
      </c>
      <c r="D11" s="6">
        <v>1741</v>
      </c>
      <c r="E11" s="4">
        <v>667</v>
      </c>
      <c r="F11" s="93">
        <v>44302</v>
      </c>
      <c r="G11"/>
    </row>
    <row r="12" spans="1:8" ht="26.1" customHeight="1" x14ac:dyDescent="0.2">
      <c r="A12" s="3">
        <v>10</v>
      </c>
      <c r="B12" s="20" t="s">
        <v>771</v>
      </c>
      <c r="C12" s="20" t="s">
        <v>772</v>
      </c>
      <c r="D12" s="6">
        <v>1593</v>
      </c>
      <c r="E12" s="4">
        <v>459</v>
      </c>
      <c r="F12" s="93">
        <v>44080</v>
      </c>
      <c r="G12"/>
    </row>
    <row r="13" spans="1:8" ht="26.1" customHeight="1" x14ac:dyDescent="0.2">
      <c r="A13" s="3">
        <v>11</v>
      </c>
      <c r="B13" s="20" t="s">
        <v>773</v>
      </c>
      <c r="C13" s="20" t="s">
        <v>774</v>
      </c>
      <c r="D13" s="6">
        <v>1157</v>
      </c>
      <c r="E13" s="4">
        <v>345</v>
      </c>
      <c r="F13" s="93">
        <v>44114</v>
      </c>
      <c r="G13"/>
    </row>
    <row r="14" spans="1:8" ht="26.1" customHeight="1" x14ac:dyDescent="0.2">
      <c r="A14" s="3">
        <v>12</v>
      </c>
      <c r="B14" s="20" t="s">
        <v>775</v>
      </c>
      <c r="C14" s="20" t="s">
        <v>776</v>
      </c>
      <c r="D14" s="6">
        <v>1020</v>
      </c>
      <c r="E14" s="4">
        <v>132</v>
      </c>
      <c r="F14" s="93">
        <v>44350</v>
      </c>
      <c r="G14"/>
    </row>
    <row r="15" spans="1:8" ht="26.1" customHeight="1" x14ac:dyDescent="0.2">
      <c r="A15" s="3">
        <v>13</v>
      </c>
      <c r="B15" s="20" t="s">
        <v>777</v>
      </c>
      <c r="C15" s="20" t="s">
        <v>778</v>
      </c>
      <c r="D15" s="6">
        <v>936</v>
      </c>
      <c r="E15" s="4">
        <v>197</v>
      </c>
      <c r="F15" s="93">
        <v>44493</v>
      </c>
      <c r="G15"/>
    </row>
    <row r="16" spans="1:8" ht="26.1" customHeight="1" x14ac:dyDescent="0.2">
      <c r="A16" s="3">
        <v>14</v>
      </c>
      <c r="B16" s="159" t="s">
        <v>779</v>
      </c>
      <c r="C16" s="20" t="s">
        <v>780</v>
      </c>
      <c r="D16" s="6">
        <v>536</v>
      </c>
      <c r="E16" s="6">
        <v>167</v>
      </c>
      <c r="F16" s="93">
        <v>44431</v>
      </c>
      <c r="G16"/>
    </row>
    <row r="17" spans="1:7" ht="26.1" customHeight="1" x14ac:dyDescent="0.2">
      <c r="A17" s="3">
        <v>15</v>
      </c>
      <c r="B17" s="159" t="s">
        <v>781</v>
      </c>
      <c r="C17" s="20" t="s">
        <v>782</v>
      </c>
      <c r="D17" s="6">
        <v>501</v>
      </c>
      <c r="E17" s="6">
        <v>153</v>
      </c>
      <c r="F17" s="93">
        <v>43435</v>
      </c>
      <c r="G17"/>
    </row>
    <row r="18" spans="1:7" ht="26.1" customHeight="1" x14ac:dyDescent="0.2">
      <c r="A18" s="3">
        <v>16</v>
      </c>
      <c r="B18" s="159" t="s">
        <v>783</v>
      </c>
      <c r="C18" s="20" t="s">
        <v>784</v>
      </c>
      <c r="D18" s="6">
        <v>150</v>
      </c>
      <c r="E18" s="6">
        <v>50</v>
      </c>
      <c r="F18" s="93">
        <v>44707</v>
      </c>
      <c r="G18"/>
    </row>
    <row r="19" spans="1:7" ht="26.1" customHeight="1" x14ac:dyDescent="0.2">
      <c r="A19" s="116"/>
      <c r="B19" s="141" t="s">
        <v>33</v>
      </c>
      <c r="C19" s="141"/>
      <c r="D19" s="144">
        <f>SUBTOTAL(109,SkalvijosKC[
Pajamos])</f>
        <v>40234</v>
      </c>
      <c r="E19" s="145">
        <f>SUBTOTAL(109,SkalvijosKC[ 
Žiūrovai])</f>
        <v>10378</v>
      </c>
      <c r="F19" s="147"/>
      <c r="G19"/>
    </row>
    <row r="20" spans="1:7" ht="26.1" hidden="1" customHeight="1" x14ac:dyDescent="0.2">
      <c r="A20" s="26"/>
      <c r="B20" s="27"/>
      <c r="C20" s="27"/>
      <c r="D20" s="28"/>
      <c r="E20" s="29"/>
      <c r="F20" s="30"/>
      <c r="G20"/>
    </row>
    <row r="21" spans="1:7" ht="26.1" hidden="1" customHeight="1" x14ac:dyDescent="0.2">
      <c r="E21" s="8"/>
      <c r="F21"/>
      <c r="G21"/>
    </row>
    <row r="22" spans="1:7" ht="26.1" hidden="1" customHeight="1" x14ac:dyDescent="0.2">
      <c r="E22" s="25"/>
      <c r="F22"/>
      <c r="G22"/>
    </row>
    <row r="23" spans="1:7" ht="26.1" hidden="1" customHeight="1" x14ac:dyDescent="0.2">
      <c r="G23"/>
    </row>
    <row r="24" spans="1:7" ht="26.1" hidden="1" customHeight="1" x14ac:dyDescent="0.2">
      <c r="G24"/>
    </row>
    <row r="25" spans="1:7" ht="26.1" hidden="1" customHeight="1" x14ac:dyDescent="0.2">
      <c r="G25"/>
    </row>
    <row r="26" spans="1:7" ht="26.1" hidden="1" customHeight="1" x14ac:dyDescent="0.2">
      <c r="G26"/>
    </row>
    <row r="27" spans="1:7" ht="26.1" hidden="1" customHeight="1" x14ac:dyDescent="0.2">
      <c r="G27"/>
    </row>
    <row r="28" spans="1:7" ht="26.1" hidden="1" customHeight="1" x14ac:dyDescent="0.2">
      <c r="G28"/>
    </row>
    <row r="29" spans="1:7" ht="26.1" hidden="1" customHeight="1" x14ac:dyDescent="0.2">
      <c r="G29"/>
    </row>
    <row r="30" spans="1:7" ht="26.1" hidden="1" customHeight="1" x14ac:dyDescent="0.2">
      <c r="G30"/>
    </row>
    <row r="31" spans="1:7" ht="26.1" hidden="1" customHeight="1" x14ac:dyDescent="0.2">
      <c r="G31"/>
    </row>
    <row r="32" spans="1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7" ht="26.1" hidden="1" customHeight="1" x14ac:dyDescent="0.2">
      <c r="G177"/>
    </row>
    <row r="178" spans="7:7" ht="26.1" hidden="1" customHeight="1" x14ac:dyDescent="0.2">
      <c r="G178"/>
    </row>
    <row r="179" spans="7:7" ht="26.1" hidden="1" customHeight="1" x14ac:dyDescent="0.2">
      <c r="G179"/>
    </row>
    <row r="180" spans="7:7" ht="26.1" hidden="1" customHeight="1" x14ac:dyDescent="0.2">
      <c r="G180"/>
    </row>
    <row r="181" spans="7:7" ht="26.1" hidden="1" customHeight="1" x14ac:dyDescent="0.2">
      <c r="G181"/>
    </row>
    <row r="182" spans="7:7" ht="26.1" hidden="1" customHeight="1" x14ac:dyDescent="0.2">
      <c r="G182"/>
    </row>
    <row r="183" spans="7:7" ht="26.1" hidden="1" customHeight="1" x14ac:dyDescent="0.2">
      <c r="G183"/>
    </row>
    <row r="184" spans="7:7" ht="26.1" hidden="1" customHeight="1" x14ac:dyDescent="0.2">
      <c r="G184"/>
    </row>
    <row r="185" spans="7:7" ht="26.1" hidden="1" customHeight="1" x14ac:dyDescent="0.2">
      <c r="G185"/>
    </row>
    <row r="186" spans="7:7" ht="26.1" hidden="1" customHeight="1" x14ac:dyDescent="0.2">
      <c r="G186"/>
    </row>
    <row r="187" spans="7:7" ht="26.1" hidden="1" customHeight="1" x14ac:dyDescent="0.2">
      <c r="G187"/>
    </row>
    <row r="188" spans="7:7" ht="26.1" hidden="1" customHeight="1" x14ac:dyDescent="0.2">
      <c r="G188"/>
    </row>
    <row r="189" spans="7:7" ht="26.1" hidden="1" customHeight="1" x14ac:dyDescent="0.2">
      <c r="G189"/>
    </row>
    <row r="190" spans="7:7" ht="26.1" hidden="1" customHeight="1" x14ac:dyDescent="0.2">
      <c r="G190"/>
    </row>
    <row r="191" spans="7:7" ht="26.1" hidden="1" customHeight="1" x14ac:dyDescent="0.2">
      <c r="G191"/>
    </row>
    <row r="192" spans="7:7" ht="26.1" hidden="1" customHeight="1" x14ac:dyDescent="0.2">
      <c r="G192"/>
    </row>
    <row r="193" spans="7:7" ht="26.1" hidden="1" customHeight="1" x14ac:dyDescent="0.2">
      <c r="G193"/>
    </row>
    <row r="194" spans="7:7" ht="26.1" hidden="1" customHeight="1" x14ac:dyDescent="0.2">
      <c r="G194"/>
    </row>
    <row r="195" spans="7:7" ht="26.1" hidden="1" customHeight="1" x14ac:dyDescent="0.2">
      <c r="G195"/>
    </row>
    <row r="196" spans="7:7" ht="26.1" hidden="1" customHeight="1" x14ac:dyDescent="0.2">
      <c r="G196"/>
    </row>
    <row r="197" spans="7:7" ht="26.1" hidden="1" customHeight="1" x14ac:dyDescent="0.2">
      <c r="G197"/>
    </row>
    <row r="198" spans="7:7" ht="26.1" hidden="1" customHeight="1" x14ac:dyDescent="0.2">
      <c r="G198"/>
    </row>
    <row r="199" spans="7:7" ht="26.1" hidden="1" customHeight="1" x14ac:dyDescent="0.2">
      <c r="G199"/>
    </row>
    <row r="200" spans="7:7" ht="26.1" hidden="1" customHeight="1" x14ac:dyDescent="0.2">
      <c r="G200"/>
    </row>
    <row r="201" spans="7:7" ht="26.1" hidden="1" customHeight="1" x14ac:dyDescent="0.2">
      <c r="G201"/>
    </row>
    <row r="202" spans="7:7" ht="26.1" hidden="1" customHeight="1" x14ac:dyDescent="0.2">
      <c r="G202"/>
    </row>
    <row r="203" spans="7:7" ht="26.1" hidden="1" customHeight="1" x14ac:dyDescent="0.2">
      <c r="G203"/>
    </row>
    <row r="204" spans="7:7" ht="26.1" hidden="1" customHeight="1" x14ac:dyDescent="0.2">
      <c r="G204"/>
    </row>
    <row r="205" spans="7:7" ht="26.1" hidden="1" customHeight="1" x14ac:dyDescent="0.2">
      <c r="G205"/>
    </row>
    <row r="206" spans="7:7" ht="26.1" hidden="1" customHeight="1" x14ac:dyDescent="0.2">
      <c r="G206"/>
    </row>
    <row r="207" spans="7:7" ht="26.1" hidden="1" customHeight="1" x14ac:dyDescent="0.2">
      <c r="G207"/>
    </row>
    <row r="208" spans="7:7" ht="26.1" hidden="1" customHeight="1" x14ac:dyDescent="0.2">
      <c r="G208"/>
    </row>
    <row r="209" spans="7:8" ht="26.1" hidden="1" customHeight="1" x14ac:dyDescent="0.2">
      <c r="G209"/>
    </row>
    <row r="210" spans="7:8" ht="26.1" hidden="1" customHeight="1" x14ac:dyDescent="0.2">
      <c r="G210"/>
    </row>
    <row r="211" spans="7:8" ht="26.1" hidden="1" customHeight="1" x14ac:dyDescent="0.2">
      <c r="G211"/>
    </row>
    <row r="212" spans="7:8" ht="26.1" hidden="1" customHeight="1" x14ac:dyDescent="0.2">
      <c r="G212"/>
    </row>
    <row r="213" spans="7:8" ht="26.1" hidden="1" customHeight="1" x14ac:dyDescent="0.2">
      <c r="G213"/>
    </row>
    <row r="214" spans="7:8" ht="26.1" hidden="1" customHeight="1" x14ac:dyDescent="0.2">
      <c r="G214"/>
    </row>
    <row r="215" spans="7:8" ht="26.1" hidden="1" customHeight="1" x14ac:dyDescent="0.2">
      <c r="G215"/>
    </row>
    <row r="216" spans="7:8" ht="26.1" hidden="1" customHeight="1" x14ac:dyDescent="0.2">
      <c r="G216"/>
    </row>
    <row r="217" spans="7:8" ht="26.1" hidden="1" customHeight="1" x14ac:dyDescent="0.2">
      <c r="G217"/>
    </row>
    <row r="218" spans="7:8" ht="26.1" hidden="1" customHeight="1" x14ac:dyDescent="0.2">
      <c r="G218"/>
    </row>
    <row r="219" spans="7:8" ht="26.1" hidden="1" customHeight="1" x14ac:dyDescent="0.2">
      <c r="G219"/>
    </row>
    <row r="220" spans="7:8" ht="26.1" hidden="1" customHeight="1" x14ac:dyDescent="0.2">
      <c r="G220"/>
    </row>
    <row r="221" spans="7:8" ht="26.1" hidden="1" customHeight="1" x14ac:dyDescent="0.2">
      <c r="G221"/>
    </row>
    <row r="222" spans="7:8" ht="26.1" hidden="1" customHeight="1" x14ac:dyDescent="0.2"/>
    <row r="223" spans="7:8" ht="26.1" hidden="1" customHeight="1" x14ac:dyDescent="0.2"/>
    <row r="224" spans="7:8" ht="26.1" hidden="1" customHeight="1" x14ac:dyDescent="0.2">
      <c r="G224" s="25"/>
      <c r="H224" s="24"/>
    </row>
    <row r="225" ht="26.1" hidden="1" customHeight="1" x14ac:dyDescent="0.2"/>
    <row r="226" ht="12" hidden="1" x14ac:dyDescent="0.2"/>
    <row r="227" ht="12" hidden="1" x14ac:dyDescent="0.2"/>
    <row r="22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09BA-6EF2-4D51-9F89-C3BEBB338CD9}">
  <dimension ref="A1:M204"/>
  <sheetViews>
    <sheetView zoomScale="70" zoomScaleNormal="70" workbookViewId="0">
      <selection activeCell="C8" sqref="C8"/>
    </sheetView>
  </sheetViews>
  <sheetFormatPr defaultColWidth="0" defaultRowHeight="0" customHeight="1" zeroHeight="1" x14ac:dyDescent="0.2"/>
  <cols>
    <col min="1" max="1" width="15.7109375" style="101" customWidth="1"/>
    <col min="2" max="3" width="35.5703125" style="152" customWidth="1"/>
    <col min="4" max="4" width="35.5703125" style="153" customWidth="1"/>
    <col min="5" max="5" width="35.5703125" style="157" customWidth="1"/>
    <col min="6" max="6" width="35.5703125" style="158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31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809</v>
      </c>
      <c r="C3" s="20" t="s">
        <v>810</v>
      </c>
      <c r="D3" s="6">
        <v>10531.26</v>
      </c>
      <c r="E3" s="4">
        <v>2011</v>
      </c>
      <c r="F3" s="93">
        <v>45569</v>
      </c>
      <c r="G3"/>
    </row>
    <row r="4" spans="1:8" ht="26.1" customHeight="1" x14ac:dyDescent="0.2">
      <c r="A4" s="3">
        <v>2</v>
      </c>
      <c r="B4" s="20" t="s">
        <v>811</v>
      </c>
      <c r="C4" s="20" t="s">
        <v>811</v>
      </c>
      <c r="D4" s="6">
        <v>6135.2099999999991</v>
      </c>
      <c r="E4" s="4">
        <v>1408</v>
      </c>
      <c r="F4" s="93">
        <v>45422</v>
      </c>
      <c r="G4"/>
    </row>
    <row r="5" spans="1:8" ht="26.1" customHeight="1" x14ac:dyDescent="0.2">
      <c r="A5" s="3">
        <v>3</v>
      </c>
      <c r="B5" s="20" t="s">
        <v>812</v>
      </c>
      <c r="C5" s="20" t="s">
        <v>813</v>
      </c>
      <c r="D5" s="6">
        <v>6107</v>
      </c>
      <c r="E5" s="4">
        <v>1253</v>
      </c>
      <c r="F5" s="93">
        <v>45303</v>
      </c>
      <c r="G5"/>
    </row>
    <row r="6" spans="1:8" ht="26.1" customHeight="1" x14ac:dyDescent="0.2">
      <c r="A6" s="3">
        <v>4</v>
      </c>
      <c r="B6" s="20" t="s">
        <v>814</v>
      </c>
      <c r="C6" s="20" t="s">
        <v>815</v>
      </c>
      <c r="D6" s="6">
        <v>4059.8900000000003</v>
      </c>
      <c r="E6" s="4">
        <v>756</v>
      </c>
      <c r="F6" s="93">
        <v>45597</v>
      </c>
      <c r="G6"/>
    </row>
    <row r="7" spans="1:8" ht="26.1" customHeight="1" x14ac:dyDescent="0.2">
      <c r="A7" s="3">
        <v>5</v>
      </c>
      <c r="B7" s="20" t="s">
        <v>816</v>
      </c>
      <c r="C7" s="20" t="s">
        <v>817</v>
      </c>
      <c r="D7" s="6">
        <v>3662.4700000000003</v>
      </c>
      <c r="E7" s="4">
        <v>540</v>
      </c>
      <c r="F7" s="93">
        <v>45415</v>
      </c>
      <c r="G7"/>
    </row>
    <row r="8" spans="1:8" ht="26.1" customHeight="1" x14ac:dyDescent="0.2">
      <c r="A8" s="3">
        <v>6</v>
      </c>
      <c r="B8" s="20" t="s">
        <v>818</v>
      </c>
      <c r="C8" s="20" t="s">
        <v>819</v>
      </c>
      <c r="D8" s="6">
        <v>1545</v>
      </c>
      <c r="E8" s="4">
        <v>529</v>
      </c>
      <c r="F8" s="93">
        <v>45261</v>
      </c>
      <c r="G8"/>
    </row>
    <row r="9" spans="1:8" ht="26.1" customHeight="1" x14ac:dyDescent="0.2">
      <c r="A9" s="3">
        <v>7</v>
      </c>
      <c r="B9" s="20" t="s">
        <v>820</v>
      </c>
      <c r="C9" s="20" t="s">
        <v>821</v>
      </c>
      <c r="D9" s="6">
        <v>563.16</v>
      </c>
      <c r="E9" s="4">
        <v>103</v>
      </c>
      <c r="F9" s="93">
        <v>45324</v>
      </c>
      <c r="G9"/>
    </row>
    <row r="10" spans="1:8" ht="26.1" customHeight="1" x14ac:dyDescent="0.2">
      <c r="A10" s="3">
        <v>8</v>
      </c>
      <c r="B10" s="20" t="s">
        <v>822</v>
      </c>
      <c r="C10" s="20" t="s">
        <v>823</v>
      </c>
      <c r="D10" s="6">
        <v>391.19</v>
      </c>
      <c r="E10" s="4">
        <v>82</v>
      </c>
      <c r="F10" s="93">
        <v>45534</v>
      </c>
      <c r="G10"/>
    </row>
    <row r="11" spans="1:8" ht="26.1" customHeight="1" x14ac:dyDescent="0.2">
      <c r="A11" s="116"/>
      <c r="B11" s="141" t="s">
        <v>33</v>
      </c>
      <c r="C11" s="141"/>
      <c r="D11" s="144">
        <f>SUBTOTAL(109,UnlimitedMedia[
Pajamos])</f>
        <v>32995.18</v>
      </c>
      <c r="E11" s="145">
        <f>SUBTOTAL(109,UnlimitedMedia[ 
Žiūrovai])</f>
        <v>6682</v>
      </c>
      <c r="F11" s="147"/>
      <c r="G11"/>
    </row>
    <row r="12" spans="1:8" ht="26.1" hidden="1" customHeight="1" x14ac:dyDescent="0.2">
      <c r="A12" s="148"/>
      <c r="B12" s="117"/>
      <c r="C12" s="117"/>
      <c r="D12" s="149"/>
      <c r="E12" s="150"/>
      <c r="F12" s="162"/>
      <c r="G12"/>
    </row>
    <row r="13" spans="1:8" ht="26.1" hidden="1" customHeight="1" x14ac:dyDescent="0.2">
      <c r="E13" s="154"/>
      <c r="F13" s="101"/>
      <c r="G13"/>
    </row>
    <row r="14" spans="1:8" ht="26.1" hidden="1" customHeight="1" x14ac:dyDescent="0.2">
      <c r="E14" s="156"/>
      <c r="F14" s="101"/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>
      <c r="G175"/>
    </row>
    <row r="176" spans="7:7" ht="26.1" hidden="1" customHeight="1" x14ac:dyDescent="0.2">
      <c r="G176"/>
    </row>
    <row r="177" spans="7:7" ht="26.1" hidden="1" customHeight="1" x14ac:dyDescent="0.2">
      <c r="G177"/>
    </row>
    <row r="178" spans="7:7" ht="26.1" hidden="1" customHeight="1" x14ac:dyDescent="0.2">
      <c r="G178"/>
    </row>
    <row r="179" spans="7:7" ht="26.1" hidden="1" customHeight="1" x14ac:dyDescent="0.2">
      <c r="G179"/>
    </row>
    <row r="180" spans="7:7" ht="26.1" hidden="1" customHeight="1" x14ac:dyDescent="0.2">
      <c r="G180"/>
    </row>
    <row r="181" spans="7:7" ht="26.1" hidden="1" customHeight="1" x14ac:dyDescent="0.2">
      <c r="G181"/>
    </row>
    <row r="182" spans="7:7" ht="26.1" hidden="1" customHeight="1" x14ac:dyDescent="0.2">
      <c r="G182"/>
    </row>
    <row r="183" spans="7:7" ht="26.1" hidden="1" customHeight="1" x14ac:dyDescent="0.2">
      <c r="G183"/>
    </row>
    <row r="184" spans="7:7" ht="26.1" hidden="1" customHeight="1" x14ac:dyDescent="0.2">
      <c r="G184"/>
    </row>
    <row r="185" spans="7:7" ht="26.1" hidden="1" customHeight="1" x14ac:dyDescent="0.2">
      <c r="G185"/>
    </row>
    <row r="186" spans="7:7" ht="26.1" hidden="1" customHeight="1" x14ac:dyDescent="0.2">
      <c r="G186"/>
    </row>
    <row r="187" spans="7:7" ht="26.1" hidden="1" customHeight="1" x14ac:dyDescent="0.2">
      <c r="G187"/>
    </row>
    <row r="188" spans="7:7" ht="26.1" hidden="1" customHeight="1" x14ac:dyDescent="0.2">
      <c r="G188"/>
    </row>
    <row r="189" spans="7:7" ht="26.1" hidden="1" customHeight="1" x14ac:dyDescent="0.2">
      <c r="G189"/>
    </row>
    <row r="190" spans="7:7" ht="26.1" hidden="1" customHeight="1" x14ac:dyDescent="0.2">
      <c r="G190"/>
    </row>
    <row r="191" spans="7:7" ht="26.1" hidden="1" customHeight="1" x14ac:dyDescent="0.2">
      <c r="G191"/>
    </row>
    <row r="192" spans="7:7" ht="26.1" hidden="1" customHeight="1" x14ac:dyDescent="0.2">
      <c r="G192"/>
    </row>
    <row r="193" spans="7:8" ht="26.1" hidden="1" customHeight="1" x14ac:dyDescent="0.2">
      <c r="G193"/>
    </row>
    <row r="194" spans="7:8" ht="26.1" hidden="1" customHeight="1" x14ac:dyDescent="0.2">
      <c r="G194"/>
    </row>
    <row r="195" spans="7:8" ht="26.1" hidden="1" customHeight="1" x14ac:dyDescent="0.2">
      <c r="G195"/>
    </row>
    <row r="196" spans="7:8" ht="26.1" hidden="1" customHeight="1" x14ac:dyDescent="0.2">
      <c r="G196"/>
    </row>
    <row r="197" spans="7:8" ht="26.1" hidden="1" customHeight="1" x14ac:dyDescent="0.2">
      <c r="G197"/>
    </row>
    <row r="198" spans="7:8" ht="26.1" hidden="1" customHeight="1" x14ac:dyDescent="0.2"/>
    <row r="199" spans="7:8" ht="26.1" hidden="1" customHeight="1" x14ac:dyDescent="0.2"/>
    <row r="200" spans="7:8" ht="26.1" hidden="1" customHeight="1" x14ac:dyDescent="0.2">
      <c r="G200" s="25"/>
      <c r="H200" s="24"/>
    </row>
    <row r="201" spans="7:8" ht="26.1" hidden="1" customHeight="1" x14ac:dyDescent="0.2"/>
    <row r="202" spans="7:8" ht="12" hidden="1" x14ac:dyDescent="0.2"/>
    <row r="203" spans="7:8" ht="12" hidden="1" x14ac:dyDescent="0.2"/>
    <row r="204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D2F0-271C-4286-B1D9-3BA13740F3BC}">
  <dimension ref="A1:M161"/>
  <sheetViews>
    <sheetView zoomScale="70" zoomScaleNormal="70" workbookViewId="0">
      <selection activeCell="C4" sqref="C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23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738</v>
      </c>
      <c r="C3" s="20" t="s">
        <v>738</v>
      </c>
      <c r="D3" s="6">
        <v>24509.43</v>
      </c>
      <c r="E3" s="4">
        <v>4211</v>
      </c>
      <c r="F3" s="89">
        <v>45352</v>
      </c>
      <c r="G3"/>
    </row>
    <row r="4" spans="1:8" ht="26.1" customHeight="1" x14ac:dyDescent="0.2">
      <c r="A4" s="3">
        <v>2</v>
      </c>
      <c r="B4" s="20" t="s">
        <v>739</v>
      </c>
      <c r="C4" s="20" t="s">
        <v>740</v>
      </c>
      <c r="D4" s="6">
        <v>2298.4</v>
      </c>
      <c r="E4" s="4">
        <v>328</v>
      </c>
      <c r="F4" s="89">
        <v>45219</v>
      </c>
      <c r="G4"/>
    </row>
    <row r="5" spans="1:8" ht="26.1" customHeight="1" x14ac:dyDescent="0.2">
      <c r="A5" s="3">
        <v>3</v>
      </c>
      <c r="B5" s="20" t="s">
        <v>741</v>
      </c>
      <c r="C5" s="20" t="s">
        <v>742</v>
      </c>
      <c r="D5" s="6">
        <v>1466.7</v>
      </c>
      <c r="E5" s="4">
        <v>321</v>
      </c>
      <c r="F5" s="89">
        <v>45450</v>
      </c>
      <c r="G5"/>
    </row>
    <row r="6" spans="1:8" ht="26.1" customHeight="1" x14ac:dyDescent="0.2">
      <c r="A6" s="116" t="s">
        <v>34</v>
      </c>
      <c r="B6" s="141" t="s">
        <v>33</v>
      </c>
      <c r="C6" s="141"/>
      <c r="D6" s="144">
        <f>SUBTOTAL(109,Kinopasaka[
Pajamos])</f>
        <v>28274.530000000002</v>
      </c>
      <c r="E6" s="145">
        <f>SUBTOTAL(109,Kinopasaka[ 
Žiūrovai])</f>
        <v>4860</v>
      </c>
      <c r="F6" s="147"/>
      <c r="G6"/>
    </row>
    <row r="7" spans="1:8" ht="26.1" hidden="1" customHeight="1" x14ac:dyDescent="0.2">
      <c r="A7" s="26"/>
      <c r="B7" s="27"/>
      <c r="C7" s="27"/>
      <c r="D7" s="28"/>
      <c r="E7" s="29"/>
      <c r="F7" s="30"/>
      <c r="G7"/>
    </row>
    <row r="8" spans="1:8" ht="26.1" hidden="1" customHeight="1" x14ac:dyDescent="0.2">
      <c r="E8" s="8"/>
      <c r="F8"/>
      <c r="G8"/>
    </row>
    <row r="9" spans="1:8" ht="26.1" hidden="1" customHeight="1" x14ac:dyDescent="0.2">
      <c r="E9" s="25"/>
      <c r="F9"/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5.5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>
      <c r="G153"/>
    </row>
    <row r="154" spans="7:8" ht="26.1" hidden="1" customHeight="1" x14ac:dyDescent="0.2">
      <c r="G154"/>
    </row>
    <row r="155" spans="7:8" ht="26.1" hidden="1" customHeight="1" x14ac:dyDescent="0.2"/>
    <row r="156" spans="7:8" ht="26.1" hidden="1" customHeight="1" x14ac:dyDescent="0.2"/>
    <row r="157" spans="7:8" ht="26.1" hidden="1" customHeight="1" x14ac:dyDescent="0.2">
      <c r="G157" s="25"/>
      <c r="H157" s="24"/>
    </row>
    <row r="158" spans="7:8" ht="26.1" hidden="1" customHeight="1" x14ac:dyDescent="0.2"/>
    <row r="159" spans="7:8" ht="12" hidden="1" x14ac:dyDescent="0.2"/>
    <row r="160" spans="7:8" ht="12" hidden="1" x14ac:dyDescent="0.2"/>
    <row r="161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C9E9-7D8F-4BC0-8C39-B987380AB5BD}">
  <dimension ref="A1:M159"/>
  <sheetViews>
    <sheetView zoomScale="70" zoomScaleNormal="70" workbookViewId="0">
      <selection activeCell="C3" sqref="C3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743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744</v>
      </c>
      <c r="C3" s="20" t="s">
        <v>744</v>
      </c>
      <c r="D3" s="6">
        <v>27961</v>
      </c>
      <c r="E3" s="4">
        <v>4161</v>
      </c>
      <c r="F3" s="89">
        <v>45541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SUBTOTAL(109,Maoboricomapny[
Pajamos])</f>
        <v>27961</v>
      </c>
      <c r="E4" s="145">
        <f>SUBTOTAL(109,Maoboricomapny[ 
Žiūrovai])</f>
        <v>4161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5D72-4748-42D8-98BE-754FB477C83C}">
  <dimension ref="A1:M20"/>
  <sheetViews>
    <sheetView zoomScale="70" zoomScaleNormal="70" workbookViewId="0">
      <selection activeCell="F9" sqref="F9"/>
    </sheetView>
  </sheetViews>
  <sheetFormatPr defaultColWidth="0" defaultRowHeight="0" customHeight="1" zeroHeight="1" x14ac:dyDescent="0.2"/>
  <cols>
    <col min="1" max="1" width="15.7109375" style="101" customWidth="1"/>
    <col min="2" max="3" width="35.5703125" style="152" customWidth="1"/>
    <col min="4" max="4" width="35.5703125" style="153" customWidth="1"/>
    <col min="5" max="5" width="35.5703125" style="157" customWidth="1"/>
    <col min="6" max="6" width="35.5703125" style="158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72" t="s">
        <v>22</v>
      </c>
      <c r="B1" s="173"/>
      <c r="C1" s="173"/>
      <c r="D1" s="173"/>
      <c r="E1" s="173"/>
      <c r="F1" s="174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704</v>
      </c>
      <c r="C3" s="20" t="s">
        <v>705</v>
      </c>
      <c r="D3" s="6">
        <v>4892.5</v>
      </c>
      <c r="E3" s="4">
        <v>1156</v>
      </c>
      <c r="F3" s="93">
        <v>44894</v>
      </c>
      <c r="G3"/>
    </row>
    <row r="4" spans="1:8" ht="26.1" customHeight="1" x14ac:dyDescent="0.2">
      <c r="A4" s="3">
        <v>2</v>
      </c>
      <c r="B4" s="20" t="s">
        <v>706</v>
      </c>
      <c r="C4" s="20" t="s">
        <v>707</v>
      </c>
      <c r="D4" s="6">
        <v>2524</v>
      </c>
      <c r="E4" s="4">
        <v>681</v>
      </c>
      <c r="F4" s="93">
        <v>45619</v>
      </c>
      <c r="G4"/>
    </row>
    <row r="5" spans="1:8" ht="26.1" customHeight="1" x14ac:dyDescent="0.2">
      <c r="A5" s="3">
        <v>3</v>
      </c>
      <c r="B5" s="20" t="s">
        <v>708</v>
      </c>
      <c r="C5" s="20" t="s">
        <v>709</v>
      </c>
      <c r="D5" s="6">
        <v>2351.5</v>
      </c>
      <c r="E5" s="4">
        <v>593</v>
      </c>
      <c r="F5" s="93">
        <v>44707</v>
      </c>
      <c r="G5"/>
    </row>
    <row r="6" spans="1:8" ht="26.1" customHeight="1" x14ac:dyDescent="0.2">
      <c r="A6" s="3">
        <v>4</v>
      </c>
      <c r="B6" s="20" t="s">
        <v>710</v>
      </c>
      <c r="C6" s="20" t="s">
        <v>711</v>
      </c>
      <c r="D6" s="6">
        <v>2022</v>
      </c>
      <c r="E6" s="4">
        <v>594</v>
      </c>
      <c r="F6" s="93">
        <v>45588</v>
      </c>
      <c r="G6"/>
    </row>
    <row r="7" spans="1:8" ht="26.1" customHeight="1" x14ac:dyDescent="0.2">
      <c r="A7" s="3">
        <v>5</v>
      </c>
      <c r="B7" s="20" t="s">
        <v>712</v>
      </c>
      <c r="C7" s="20" t="s">
        <v>713</v>
      </c>
      <c r="D7" s="6">
        <v>2000</v>
      </c>
      <c r="E7" s="4">
        <v>277</v>
      </c>
      <c r="F7" s="93">
        <v>43896</v>
      </c>
      <c r="G7"/>
    </row>
    <row r="8" spans="1:8" ht="26.1" customHeight="1" x14ac:dyDescent="0.2">
      <c r="A8" s="3">
        <v>6</v>
      </c>
      <c r="B8" s="20" t="s">
        <v>714</v>
      </c>
      <c r="C8" s="20" t="s">
        <v>715</v>
      </c>
      <c r="D8" s="6">
        <v>1949.5</v>
      </c>
      <c r="E8" s="4">
        <v>446</v>
      </c>
      <c r="F8" s="93">
        <v>44112</v>
      </c>
      <c r="G8"/>
    </row>
    <row r="9" spans="1:8" ht="26.1" customHeight="1" x14ac:dyDescent="0.2">
      <c r="A9" s="3">
        <v>7</v>
      </c>
      <c r="B9" s="20" t="s">
        <v>716</v>
      </c>
      <c r="C9" s="20" t="s">
        <v>717</v>
      </c>
      <c r="D9" s="6">
        <v>1535</v>
      </c>
      <c r="E9" s="4">
        <v>468</v>
      </c>
      <c r="F9" s="93">
        <v>45434</v>
      </c>
      <c r="G9"/>
    </row>
    <row r="10" spans="1:8" ht="26.1" customHeight="1" x14ac:dyDescent="0.2">
      <c r="A10" s="3">
        <v>8</v>
      </c>
      <c r="B10" s="20" t="s">
        <v>718</v>
      </c>
      <c r="C10" s="20" t="s">
        <v>719</v>
      </c>
      <c r="D10" s="6">
        <v>1519</v>
      </c>
      <c r="E10" s="4">
        <v>414</v>
      </c>
      <c r="F10" s="93">
        <v>43574</v>
      </c>
      <c r="G10"/>
    </row>
    <row r="11" spans="1:8" ht="26.1" customHeight="1" x14ac:dyDescent="0.2">
      <c r="A11" s="3">
        <v>9</v>
      </c>
      <c r="B11" s="20" t="s">
        <v>720</v>
      </c>
      <c r="C11" s="20" t="s">
        <v>721</v>
      </c>
      <c r="D11" s="6">
        <v>1357.5</v>
      </c>
      <c r="E11" s="4">
        <v>474</v>
      </c>
      <c r="F11" s="93">
        <v>44680</v>
      </c>
      <c r="G11"/>
    </row>
    <row r="12" spans="1:8" ht="26.1" customHeight="1" x14ac:dyDescent="0.2">
      <c r="A12" s="3">
        <v>10</v>
      </c>
      <c r="B12" s="20" t="s">
        <v>722</v>
      </c>
      <c r="C12" s="20" t="s">
        <v>723</v>
      </c>
      <c r="D12" s="6">
        <v>1052</v>
      </c>
      <c r="E12" s="4">
        <v>321</v>
      </c>
      <c r="F12" s="93">
        <v>44658</v>
      </c>
      <c r="G12"/>
    </row>
    <row r="13" spans="1:8" ht="26.1" customHeight="1" x14ac:dyDescent="0.2">
      <c r="A13" s="3">
        <v>11</v>
      </c>
      <c r="B13" s="20" t="s">
        <v>724</v>
      </c>
      <c r="C13" s="20" t="s">
        <v>725</v>
      </c>
      <c r="D13" s="6">
        <v>674</v>
      </c>
      <c r="E13" s="4">
        <v>129</v>
      </c>
      <c r="F13" s="93">
        <v>43567</v>
      </c>
      <c r="G13"/>
    </row>
    <row r="14" spans="1:8" ht="26.1" customHeight="1" x14ac:dyDescent="0.2">
      <c r="A14" s="3">
        <v>12</v>
      </c>
      <c r="B14" s="20" t="s">
        <v>726</v>
      </c>
      <c r="C14" s="20" t="s">
        <v>727</v>
      </c>
      <c r="D14" s="6">
        <v>663.5</v>
      </c>
      <c r="E14" s="4">
        <v>139</v>
      </c>
      <c r="F14" s="93">
        <v>45631</v>
      </c>
      <c r="G14"/>
    </row>
    <row r="15" spans="1:8" ht="26.1" customHeight="1" x14ac:dyDescent="0.2">
      <c r="A15" s="3">
        <v>13</v>
      </c>
      <c r="B15" s="20" t="s">
        <v>728</v>
      </c>
      <c r="C15" s="20" t="s">
        <v>729</v>
      </c>
      <c r="D15" s="6">
        <v>596.5</v>
      </c>
      <c r="E15" s="4">
        <v>90</v>
      </c>
      <c r="F15" s="93">
        <v>44440</v>
      </c>
      <c r="G15"/>
    </row>
    <row r="16" spans="1:8" ht="26.1" customHeight="1" x14ac:dyDescent="0.2">
      <c r="A16" s="3">
        <v>14</v>
      </c>
      <c r="B16" s="20" t="s">
        <v>730</v>
      </c>
      <c r="C16" s="20" t="s">
        <v>731</v>
      </c>
      <c r="D16" s="6">
        <v>545.5</v>
      </c>
      <c r="E16" s="4">
        <v>244</v>
      </c>
      <c r="F16" s="93">
        <v>44428</v>
      </c>
      <c r="G16"/>
    </row>
    <row r="17" spans="1:7" ht="26.1" customHeight="1" x14ac:dyDescent="0.2">
      <c r="A17" s="3">
        <v>15</v>
      </c>
      <c r="B17" s="20" t="s">
        <v>732</v>
      </c>
      <c r="C17" s="20" t="s">
        <v>733</v>
      </c>
      <c r="D17" s="6">
        <v>180</v>
      </c>
      <c r="E17" s="4">
        <v>40</v>
      </c>
      <c r="F17" s="93">
        <v>44971</v>
      </c>
      <c r="G17"/>
    </row>
    <row r="18" spans="1:7" ht="26.1" customHeight="1" x14ac:dyDescent="0.2">
      <c r="A18" s="3">
        <v>16</v>
      </c>
      <c r="B18" s="20" t="s">
        <v>734</v>
      </c>
      <c r="C18" s="20" t="s">
        <v>735</v>
      </c>
      <c r="D18" s="6">
        <v>100</v>
      </c>
      <c r="E18" s="4">
        <v>20</v>
      </c>
      <c r="F18" s="93">
        <v>45099</v>
      </c>
      <c r="G18"/>
    </row>
    <row r="19" spans="1:7" ht="26.1" customHeight="1" x14ac:dyDescent="0.2">
      <c r="A19" s="3">
        <v>17</v>
      </c>
      <c r="B19" s="20" t="s">
        <v>736</v>
      </c>
      <c r="C19" s="20" t="s">
        <v>737</v>
      </c>
      <c r="D19" s="6">
        <v>30</v>
      </c>
      <c r="E19" s="4">
        <v>12</v>
      </c>
      <c r="F19" s="93">
        <v>44533</v>
      </c>
      <c r="G19"/>
    </row>
    <row r="20" spans="1:7" ht="26.1" customHeight="1" x14ac:dyDescent="0.2">
      <c r="A20" s="116"/>
      <c r="B20" s="141" t="s">
        <v>33</v>
      </c>
      <c r="C20" s="141"/>
      <c r="D20" s="144">
        <f>SUBTOTAL(109,KCGarsas[
Pajamos])</f>
        <v>23992.5</v>
      </c>
      <c r="E20" s="145">
        <f>SUBTOTAL(109,KCGarsas[ 
Žiūrovai])</f>
        <v>6098</v>
      </c>
      <c r="F20" s="147"/>
      <c r="G20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16C7-FEEB-4306-B2EF-BB6EC4CAE05D}">
  <dimension ref="A1:M163"/>
  <sheetViews>
    <sheetView zoomScale="70" zoomScaleNormal="70" workbookViewId="0">
      <selection activeCell="E7" sqref="E7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21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694</v>
      </c>
      <c r="C3" s="20" t="s">
        <v>695</v>
      </c>
      <c r="D3" s="6">
        <v>11781.2</v>
      </c>
      <c r="E3" s="4">
        <v>1826</v>
      </c>
      <c r="F3" s="89">
        <v>45345</v>
      </c>
      <c r="G3"/>
    </row>
    <row r="4" spans="1:8" ht="26.1" customHeight="1" x14ac:dyDescent="0.2">
      <c r="A4" s="3">
        <v>2</v>
      </c>
      <c r="B4" s="20" t="s">
        <v>696</v>
      </c>
      <c r="C4" s="20" t="s">
        <v>697</v>
      </c>
      <c r="D4" s="6">
        <v>1863</v>
      </c>
      <c r="E4" s="4">
        <v>207</v>
      </c>
      <c r="F4" s="89">
        <v>44414</v>
      </c>
      <c r="G4"/>
    </row>
    <row r="5" spans="1:8" ht="26.1" customHeight="1" x14ac:dyDescent="0.2">
      <c r="A5" s="3">
        <v>3</v>
      </c>
      <c r="B5" s="20" t="s">
        <v>698</v>
      </c>
      <c r="C5" s="20" t="s">
        <v>699</v>
      </c>
      <c r="D5" s="6">
        <v>1835.3</v>
      </c>
      <c r="E5" s="4">
        <v>551</v>
      </c>
      <c r="F5" s="89">
        <v>45443</v>
      </c>
      <c r="G5"/>
    </row>
    <row r="6" spans="1:8" ht="26.1" customHeight="1" x14ac:dyDescent="0.2">
      <c r="A6" s="3">
        <v>4</v>
      </c>
      <c r="B6" s="20" t="s">
        <v>700</v>
      </c>
      <c r="C6" s="20" t="s">
        <v>701</v>
      </c>
      <c r="D6" s="6">
        <v>1171.5</v>
      </c>
      <c r="E6" s="4">
        <v>174</v>
      </c>
      <c r="F6" s="89">
        <v>43609</v>
      </c>
      <c r="G6"/>
    </row>
    <row r="7" spans="1:8" ht="26.1" customHeight="1" x14ac:dyDescent="0.2">
      <c r="A7" s="3">
        <v>5</v>
      </c>
      <c r="B7" s="20" t="s">
        <v>702</v>
      </c>
      <c r="C7" s="20" t="s">
        <v>703</v>
      </c>
      <c r="D7" s="6">
        <v>285</v>
      </c>
      <c r="E7" s="4">
        <v>57</v>
      </c>
      <c r="F7" s="89">
        <v>43868</v>
      </c>
      <c r="G7"/>
    </row>
    <row r="8" spans="1:8" ht="26.1" customHeight="1" x14ac:dyDescent="0.2">
      <c r="A8" s="116" t="s">
        <v>34</v>
      </c>
      <c r="B8" s="141" t="s">
        <v>33</v>
      </c>
      <c r="C8" s="141"/>
      <c r="D8" s="144">
        <f>SUBTOTAL(109,GretaGarboFilms[
Pajamos])</f>
        <v>16936</v>
      </c>
      <c r="E8" s="145">
        <f>SUBTOTAL(109,GretaGarboFilms[ 
Žiūrovai])</f>
        <v>2815</v>
      </c>
      <c r="F8" s="147"/>
      <c r="G8"/>
    </row>
    <row r="9" spans="1:8" ht="26.1" hidden="1" customHeight="1" x14ac:dyDescent="0.2">
      <c r="A9" s="26"/>
      <c r="B9" s="27"/>
      <c r="C9" s="27"/>
      <c r="D9" s="28"/>
      <c r="E9" s="29"/>
      <c r="F9" s="30"/>
      <c r="G9"/>
    </row>
    <row r="10" spans="1:8" ht="26.1" hidden="1" customHeight="1" x14ac:dyDescent="0.2">
      <c r="E10" s="8"/>
      <c r="F10"/>
      <c r="G10"/>
    </row>
    <row r="11" spans="1:8" ht="26.1" hidden="1" customHeight="1" x14ac:dyDescent="0.2">
      <c r="E11" s="25"/>
      <c r="F11"/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5.5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>
      <c r="G153"/>
    </row>
    <row r="154" spans="7:8" ht="26.1" hidden="1" customHeight="1" x14ac:dyDescent="0.2">
      <c r="G154"/>
    </row>
    <row r="155" spans="7:8" ht="26.1" hidden="1" customHeight="1" x14ac:dyDescent="0.2">
      <c r="G155"/>
    </row>
    <row r="156" spans="7:8" ht="26.1" hidden="1" customHeight="1" x14ac:dyDescent="0.2">
      <c r="G156"/>
    </row>
    <row r="157" spans="7:8" ht="26.1" hidden="1" customHeight="1" x14ac:dyDescent="0.2"/>
    <row r="158" spans="7:8" ht="26.1" hidden="1" customHeight="1" x14ac:dyDescent="0.2"/>
    <row r="159" spans="7:8" ht="26.1" hidden="1" customHeight="1" x14ac:dyDescent="0.2">
      <c r="G159" s="25"/>
      <c r="H159" s="24"/>
    </row>
    <row r="160" spans="7:8" ht="26.1" hidden="1" customHeight="1" x14ac:dyDescent="0.2"/>
    <row r="161" ht="12" hidden="1" x14ac:dyDescent="0.2"/>
    <row r="162" ht="12" hidden="1" x14ac:dyDescent="0.2"/>
    <row r="163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C3A0-398E-4512-9E9B-F96AED8DBC10}">
  <dimension ref="A1:M163"/>
  <sheetViews>
    <sheetView zoomScale="70" zoomScaleNormal="70" workbookViewId="0">
      <selection activeCell="B4" sqref="B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30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47" t="s">
        <v>59</v>
      </c>
      <c r="C3" s="47" t="s">
        <v>59</v>
      </c>
      <c r="D3" s="160">
        <v>8281.7000000000007</v>
      </c>
      <c r="E3" s="161">
        <v>1081</v>
      </c>
      <c r="F3" s="89">
        <v>45261</v>
      </c>
      <c r="G3"/>
    </row>
    <row r="4" spans="1:8" ht="26.1" customHeight="1" x14ac:dyDescent="0.2">
      <c r="A4" s="3">
        <v>2</v>
      </c>
      <c r="B4" s="47" t="s">
        <v>787</v>
      </c>
      <c r="C4" s="47" t="s">
        <v>788</v>
      </c>
      <c r="D4" s="160">
        <v>3193.9</v>
      </c>
      <c r="E4" s="161">
        <v>530</v>
      </c>
      <c r="F4" s="89">
        <v>45345</v>
      </c>
      <c r="G4"/>
    </row>
    <row r="5" spans="1:8" ht="26.1" customHeight="1" x14ac:dyDescent="0.2">
      <c r="A5" s="3">
        <v>3</v>
      </c>
      <c r="B5" s="47" t="s">
        <v>789</v>
      </c>
      <c r="C5" s="47" t="s">
        <v>790</v>
      </c>
      <c r="D5" s="160">
        <v>719.4</v>
      </c>
      <c r="E5" s="161">
        <v>162</v>
      </c>
      <c r="F5" s="89">
        <v>45415</v>
      </c>
      <c r="G5"/>
    </row>
    <row r="6" spans="1:8" ht="26.1" customHeight="1" x14ac:dyDescent="0.2">
      <c r="A6" s="3">
        <v>4</v>
      </c>
      <c r="B6" s="47" t="s">
        <v>791</v>
      </c>
      <c r="C6" s="47" t="s">
        <v>792</v>
      </c>
      <c r="D6" s="160">
        <v>557.20000000000005</v>
      </c>
      <c r="E6" s="161">
        <v>104</v>
      </c>
      <c r="F6" s="89">
        <v>45625</v>
      </c>
      <c r="G6"/>
    </row>
    <row r="7" spans="1:8" ht="26.1" customHeight="1" x14ac:dyDescent="0.2">
      <c r="A7" s="3">
        <v>5</v>
      </c>
      <c r="B7" s="47" t="s">
        <v>60</v>
      </c>
      <c r="C7" s="47" t="s">
        <v>60</v>
      </c>
      <c r="D7" s="160">
        <v>268</v>
      </c>
      <c r="E7" s="161">
        <v>50</v>
      </c>
      <c r="F7" s="89">
        <v>45205</v>
      </c>
      <c r="G7"/>
    </row>
    <row r="8" spans="1:8" ht="26.1" customHeight="1" x14ac:dyDescent="0.2">
      <c r="A8" s="116" t="s">
        <v>34</v>
      </c>
      <c r="B8" s="141" t="s">
        <v>33</v>
      </c>
      <c r="C8" s="141"/>
      <c r="D8" s="144">
        <f>SUBTOTAL(109,Taiptoliau[
Pajamos])</f>
        <v>13020.2</v>
      </c>
      <c r="E8" s="145">
        <f>SUBTOTAL(109,Taiptoliau[ 
Žiūrovai])</f>
        <v>1927</v>
      </c>
      <c r="F8" s="147"/>
      <c r="G8"/>
    </row>
    <row r="9" spans="1:8" ht="26.1" hidden="1" customHeight="1" x14ac:dyDescent="0.2">
      <c r="A9" s="26"/>
      <c r="B9" s="27"/>
      <c r="C9" s="27"/>
      <c r="D9" s="28"/>
      <c r="E9" s="29"/>
      <c r="F9" s="30"/>
      <c r="G9"/>
    </row>
    <row r="10" spans="1:8" ht="26.1" hidden="1" customHeight="1" x14ac:dyDescent="0.2">
      <c r="E10" s="8"/>
      <c r="F10"/>
      <c r="G10"/>
    </row>
    <row r="11" spans="1:8" ht="26.1" hidden="1" customHeight="1" x14ac:dyDescent="0.2">
      <c r="E11" s="25"/>
      <c r="F11"/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5.5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>
      <c r="G153"/>
    </row>
    <row r="154" spans="7:8" ht="26.1" hidden="1" customHeight="1" x14ac:dyDescent="0.2">
      <c r="G154"/>
    </row>
    <row r="155" spans="7:8" ht="26.1" hidden="1" customHeight="1" x14ac:dyDescent="0.2">
      <c r="G155"/>
    </row>
    <row r="156" spans="7:8" ht="26.1" hidden="1" customHeight="1" x14ac:dyDescent="0.2">
      <c r="G156"/>
    </row>
    <row r="157" spans="7:8" ht="26.1" hidden="1" customHeight="1" x14ac:dyDescent="0.2"/>
    <row r="158" spans="7:8" ht="26.1" hidden="1" customHeight="1" x14ac:dyDescent="0.2"/>
    <row r="159" spans="7:8" ht="26.1" hidden="1" customHeight="1" x14ac:dyDescent="0.2">
      <c r="G159" s="25"/>
      <c r="H159" s="24"/>
    </row>
    <row r="160" spans="7:8" ht="26.1" hidden="1" customHeight="1" x14ac:dyDescent="0.2"/>
    <row r="161" ht="12" hidden="1" x14ac:dyDescent="0.2"/>
    <row r="162" ht="12" hidden="1" x14ac:dyDescent="0.2"/>
    <row r="163" ht="12" hidden="1" x14ac:dyDescent="0.2"/>
  </sheetData>
  <mergeCells count="1">
    <mergeCell ref="A1:F1"/>
  </mergeCells>
  <conditionalFormatting sqref="B3">
    <cfRule type="duplicateValues" dxfId="71" priority="7"/>
  </conditionalFormatting>
  <conditionalFormatting sqref="B3:B7">
    <cfRule type="duplicateValues" dxfId="70" priority="6"/>
  </conditionalFormatting>
  <conditionalFormatting sqref="B4">
    <cfRule type="duplicateValues" dxfId="69" priority="4"/>
    <cfRule type="duplicateValues" dxfId="68" priority="5"/>
  </conditionalFormatting>
  <conditionalFormatting sqref="B5">
    <cfRule type="duplicateValues" dxfId="67" priority="2"/>
    <cfRule type="duplicateValues" dxfId="66" priority="3"/>
  </conditionalFormatting>
  <conditionalFormatting sqref="B6:B7">
    <cfRule type="duplicateValues" dxfId="65" priority="1"/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1FEF-39AC-43CD-9427-625F21592A8B}">
  <dimension ref="A1:M159"/>
  <sheetViews>
    <sheetView zoomScale="70" zoomScaleNormal="70" workbookViewId="0">
      <selection activeCell="F3" sqref="F3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308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824</v>
      </c>
      <c r="C3" s="20" t="s">
        <v>824</v>
      </c>
      <c r="D3" s="6">
        <v>7664</v>
      </c>
      <c r="E3" s="4">
        <v>1080</v>
      </c>
      <c r="F3" s="89">
        <v>45632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SUBTOTAL(109,Zerocopy[
Pajamos])</f>
        <v>7664</v>
      </c>
      <c r="E4" s="145">
        <f>SUBTOTAL(109,Zerocopy[ 
Žiūrovai])</f>
        <v>1080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B85A-0AE0-4E13-89FE-01DEBC045FF0}">
  <dimension ref="A1:M128"/>
  <sheetViews>
    <sheetView zoomScale="70" zoomScaleNormal="70" workbookViewId="0">
      <selection activeCell="A7" sqref="A7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92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464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366</v>
      </c>
      <c r="D2" s="35" t="s">
        <v>63</v>
      </c>
      <c r="E2" s="36" t="s">
        <v>66</v>
      </c>
      <c r="F2" s="85" t="s">
        <v>42</v>
      </c>
      <c r="G2"/>
    </row>
    <row r="3" spans="1:8" ht="26.1" customHeight="1" x14ac:dyDescent="0.2">
      <c r="A3" s="3">
        <v>1</v>
      </c>
      <c r="B3" s="20" t="s">
        <v>459</v>
      </c>
      <c r="C3" s="20" t="s">
        <v>459</v>
      </c>
      <c r="D3" s="6">
        <v>3426</v>
      </c>
      <c r="E3" s="4">
        <v>587</v>
      </c>
      <c r="F3" s="89">
        <v>45338</v>
      </c>
      <c r="G3"/>
    </row>
    <row r="4" spans="1:8" ht="26.1" customHeight="1" x14ac:dyDescent="0.2">
      <c r="A4" s="3">
        <v>2</v>
      </c>
      <c r="B4" s="20" t="s">
        <v>460</v>
      </c>
      <c r="C4" s="20" t="s">
        <v>461</v>
      </c>
      <c r="D4" s="6">
        <v>2452.1</v>
      </c>
      <c r="E4" s="4">
        <v>516</v>
      </c>
      <c r="F4" s="89">
        <v>45275</v>
      </c>
      <c r="G4"/>
    </row>
    <row r="5" spans="1:8" ht="26.1" customHeight="1" x14ac:dyDescent="0.2">
      <c r="A5" s="3">
        <v>3</v>
      </c>
      <c r="B5" s="20" t="s">
        <v>462</v>
      </c>
      <c r="C5" s="20" t="s">
        <v>463</v>
      </c>
      <c r="D5" s="6">
        <v>585.78</v>
      </c>
      <c r="E5" s="4">
        <v>142</v>
      </c>
      <c r="F5" s="89">
        <v>45401</v>
      </c>
      <c r="G5"/>
    </row>
    <row r="6" spans="1:8" ht="26.1" customHeight="1" x14ac:dyDescent="0.2">
      <c r="A6" s="3">
        <v>4</v>
      </c>
      <c r="B6" s="20" t="s">
        <v>61</v>
      </c>
      <c r="C6" s="20" t="s">
        <v>61</v>
      </c>
      <c r="D6" s="6">
        <v>542.4</v>
      </c>
      <c r="E6" s="4">
        <v>98</v>
      </c>
      <c r="F6" s="89">
        <v>45268</v>
      </c>
      <c r="G6"/>
    </row>
    <row r="7" spans="1:8" s="101" customFormat="1" ht="26.1" customHeight="1" x14ac:dyDescent="0.2">
      <c r="A7" s="116" t="s">
        <v>34</v>
      </c>
      <c r="B7" s="141" t="s">
        <v>33</v>
      </c>
      <c r="C7" s="141"/>
      <c r="D7" s="144">
        <f>SUBTOTAL(109,BroomFilms[
Pajamos])</f>
        <v>7006.28</v>
      </c>
      <c r="E7" s="145">
        <f>SUBTOTAL(109,BroomFilms[ 
Žiūrovai])</f>
        <v>1343</v>
      </c>
      <c r="F7" s="146"/>
    </row>
    <row r="8" spans="1:8" s="101" customFormat="1" ht="26.1" hidden="1" customHeight="1" x14ac:dyDescent="0.2">
      <c r="A8" s="148"/>
      <c r="B8" s="117"/>
      <c r="C8" s="117"/>
      <c r="D8" s="149"/>
      <c r="E8" s="150"/>
      <c r="F8" s="151"/>
    </row>
    <row r="9" spans="1:8" s="101" customFormat="1" ht="26.1" hidden="1" customHeight="1" x14ac:dyDescent="0.2">
      <c r="B9" s="152"/>
      <c r="C9" s="152"/>
      <c r="D9" s="153"/>
      <c r="E9" s="154"/>
      <c r="F9" s="155"/>
    </row>
    <row r="10" spans="1:8" s="101" customFormat="1" ht="26.1" hidden="1" customHeight="1" x14ac:dyDescent="0.2">
      <c r="B10" s="152"/>
      <c r="C10" s="152"/>
      <c r="D10" s="153"/>
      <c r="E10" s="156"/>
      <c r="F10" s="155"/>
    </row>
    <row r="11" spans="1:8" s="101" customFormat="1" ht="26.1" hidden="1" customHeight="1" x14ac:dyDescent="0.2">
      <c r="B11" s="152"/>
      <c r="C11" s="152"/>
      <c r="D11" s="153"/>
      <c r="E11" s="157"/>
      <c r="F11" s="155"/>
    </row>
    <row r="12" spans="1:8" s="101" customFormat="1" ht="26.1" hidden="1" customHeight="1" x14ac:dyDescent="0.2">
      <c r="B12" s="152"/>
      <c r="C12" s="152"/>
      <c r="D12" s="153"/>
      <c r="E12" s="157"/>
      <c r="F12" s="155"/>
    </row>
    <row r="13" spans="1:8" s="101" customFormat="1" ht="26.1" hidden="1" customHeight="1" x14ac:dyDescent="0.2">
      <c r="B13" s="152"/>
      <c r="C13" s="152"/>
      <c r="D13" s="153"/>
      <c r="E13" s="157"/>
      <c r="F13" s="155"/>
    </row>
    <row r="14" spans="1:8" s="101" customFormat="1" ht="26.1" hidden="1" customHeight="1" x14ac:dyDescent="0.2">
      <c r="B14" s="152"/>
      <c r="C14" s="152"/>
      <c r="D14" s="153"/>
      <c r="E14" s="157"/>
      <c r="F14" s="155"/>
    </row>
    <row r="15" spans="1:8" s="101" customFormat="1" ht="26.1" hidden="1" customHeight="1" x14ac:dyDescent="0.2">
      <c r="B15" s="152"/>
      <c r="C15" s="152"/>
      <c r="D15" s="153"/>
      <c r="E15" s="157"/>
      <c r="F15" s="155"/>
    </row>
    <row r="16" spans="1:8" s="101" customFormat="1" ht="26.1" hidden="1" customHeight="1" x14ac:dyDescent="0.2">
      <c r="B16" s="152"/>
      <c r="C16" s="152"/>
      <c r="D16" s="153"/>
      <c r="E16" s="157"/>
      <c r="F16" s="155"/>
    </row>
    <row r="17" spans="2:7" s="101" customFormat="1" ht="26.1" hidden="1" customHeight="1" x14ac:dyDescent="0.2">
      <c r="B17" s="152"/>
      <c r="C17" s="152"/>
      <c r="D17" s="153"/>
      <c r="E17" s="157"/>
      <c r="F17" s="155"/>
    </row>
    <row r="18" spans="2:7" s="101" customFormat="1" ht="26.1" hidden="1" customHeight="1" x14ac:dyDescent="0.2">
      <c r="B18" s="152"/>
      <c r="C18" s="152"/>
      <c r="D18" s="153"/>
      <c r="E18" s="157"/>
      <c r="F18" s="155"/>
    </row>
    <row r="19" spans="2:7" s="101" customFormat="1" ht="26.1" hidden="1" customHeight="1" x14ac:dyDescent="0.2">
      <c r="B19" s="152"/>
      <c r="C19" s="152"/>
      <c r="D19" s="153"/>
      <c r="E19" s="157"/>
      <c r="F19" s="155"/>
    </row>
    <row r="20" spans="2:7" s="101" customFormat="1" ht="26.1" hidden="1" customHeight="1" x14ac:dyDescent="0.2">
      <c r="B20" s="152"/>
      <c r="C20" s="152"/>
      <c r="D20" s="153"/>
      <c r="E20" s="157"/>
      <c r="F20" s="155"/>
    </row>
    <row r="21" spans="2:7" s="101" customFormat="1" ht="26.1" hidden="1" customHeight="1" x14ac:dyDescent="0.2">
      <c r="B21" s="152"/>
      <c r="C21" s="152"/>
      <c r="D21" s="153"/>
      <c r="E21" s="157"/>
      <c r="F21" s="155"/>
    </row>
    <row r="22" spans="2:7" s="101" customFormat="1" ht="26.1" hidden="1" customHeight="1" x14ac:dyDescent="0.2">
      <c r="B22" s="152"/>
      <c r="C22" s="152"/>
      <c r="D22" s="153"/>
      <c r="E22" s="157"/>
      <c r="F22" s="155"/>
    </row>
    <row r="23" spans="2:7" s="101" customFormat="1" ht="26.1" hidden="1" customHeight="1" x14ac:dyDescent="0.2">
      <c r="B23" s="152"/>
      <c r="C23" s="152"/>
      <c r="D23" s="153"/>
      <c r="E23" s="157"/>
      <c r="F23" s="155"/>
    </row>
    <row r="24" spans="2:7" s="101" customFormat="1" ht="26.1" hidden="1" customHeight="1" x14ac:dyDescent="0.2">
      <c r="B24" s="152"/>
      <c r="C24" s="152"/>
      <c r="D24" s="153"/>
      <c r="E24" s="157"/>
      <c r="F24" s="155"/>
    </row>
    <row r="25" spans="2:7" s="101" customFormat="1" ht="26.1" hidden="1" customHeight="1" x14ac:dyDescent="0.2">
      <c r="B25" s="152"/>
      <c r="C25" s="152"/>
      <c r="D25" s="153"/>
      <c r="E25" s="157"/>
      <c r="F25" s="155"/>
    </row>
    <row r="26" spans="2:7" s="101" customFormat="1" ht="26.1" hidden="1" customHeight="1" x14ac:dyDescent="0.2">
      <c r="B26" s="152"/>
      <c r="C26" s="152"/>
      <c r="D26" s="153"/>
      <c r="E26" s="157"/>
      <c r="F26" s="155"/>
    </row>
    <row r="27" spans="2:7" s="101" customFormat="1" ht="26.1" hidden="1" customHeight="1" x14ac:dyDescent="0.2">
      <c r="B27" s="152"/>
      <c r="C27" s="152"/>
      <c r="D27" s="153"/>
      <c r="E27" s="157"/>
      <c r="F27" s="155"/>
    </row>
    <row r="28" spans="2:7" ht="26.1" hidden="1" customHeight="1" x14ac:dyDescent="0.2">
      <c r="G28"/>
    </row>
    <row r="29" spans="2:7" ht="26.1" hidden="1" customHeight="1" x14ac:dyDescent="0.2">
      <c r="G29"/>
    </row>
    <row r="30" spans="2:7" ht="26.1" hidden="1" customHeight="1" x14ac:dyDescent="0.2">
      <c r="G30"/>
    </row>
    <row r="31" spans="2:7" ht="26.1" hidden="1" customHeight="1" x14ac:dyDescent="0.2">
      <c r="G31"/>
    </row>
    <row r="32" spans="2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8" ht="26.1" hidden="1" customHeight="1" x14ac:dyDescent="0.2">
      <c r="G113"/>
    </row>
    <row r="114" spans="7:8" ht="26.1" hidden="1" customHeight="1" x14ac:dyDescent="0.2">
      <c r="G114"/>
    </row>
    <row r="115" spans="7:8" ht="26.1" hidden="1" customHeight="1" x14ac:dyDescent="0.2">
      <c r="G115"/>
    </row>
    <row r="116" spans="7:8" ht="26.1" hidden="1" customHeight="1" x14ac:dyDescent="0.2">
      <c r="G116"/>
    </row>
    <row r="117" spans="7:8" ht="26.1" hidden="1" customHeight="1" x14ac:dyDescent="0.2">
      <c r="G117"/>
    </row>
    <row r="118" spans="7:8" ht="26.1" hidden="1" customHeight="1" x14ac:dyDescent="0.2">
      <c r="G118"/>
    </row>
    <row r="119" spans="7:8" ht="26.1" hidden="1" customHeight="1" x14ac:dyDescent="0.2">
      <c r="G119"/>
    </row>
    <row r="120" spans="7:8" ht="26.1" hidden="1" customHeight="1" x14ac:dyDescent="0.2">
      <c r="G120"/>
    </row>
    <row r="121" spans="7:8" ht="26.1" hidden="1" customHeight="1" x14ac:dyDescent="0.2">
      <c r="G121"/>
    </row>
    <row r="122" spans="7:8" ht="26.1" hidden="1" customHeight="1" x14ac:dyDescent="0.2"/>
    <row r="123" spans="7:8" ht="26.1" hidden="1" customHeight="1" x14ac:dyDescent="0.2"/>
    <row r="124" spans="7:8" ht="26.1" hidden="1" customHeight="1" x14ac:dyDescent="0.2">
      <c r="G124" s="25"/>
      <c r="H124" s="24"/>
    </row>
    <row r="125" spans="7:8" ht="26.1" hidden="1" customHeight="1" x14ac:dyDescent="0.2"/>
    <row r="126" spans="7:8" ht="12" hidden="1" x14ac:dyDescent="0.2"/>
    <row r="127" spans="7:8" ht="12" hidden="1" x14ac:dyDescent="0.2"/>
    <row r="128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4E16-DBF8-4D9F-9F8B-37F1B25BE8CF}">
  <dimension ref="A1:M159"/>
  <sheetViews>
    <sheetView zoomScale="70" zoomScaleNormal="70" workbookViewId="0">
      <selection activeCell="D3" sqref="D3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73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745</v>
      </c>
      <c r="C3" s="20" t="s">
        <v>745</v>
      </c>
      <c r="D3" s="6">
        <v>6873.25</v>
      </c>
      <c r="E3" s="4">
        <v>1765</v>
      </c>
      <c r="F3" s="89">
        <v>45527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SUBTOTAL(109,Maoboricomapny16[
Pajamos])</f>
        <v>6873.25</v>
      </c>
      <c r="E4" s="145">
        <f>SUBTOTAL(109,Maoboricomapny16[ 
Žiūrovai])</f>
        <v>1765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C1D9-D0D5-4B62-B11C-764E5EEF9929}">
  <dimension ref="A1:M159"/>
  <sheetViews>
    <sheetView zoomScale="70" zoomScaleNormal="70" workbookViewId="0">
      <selection activeCell="E4" sqref="E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308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786</v>
      </c>
      <c r="C3" s="20" t="s">
        <v>786</v>
      </c>
      <c r="D3" s="6">
        <v>6731.94</v>
      </c>
      <c r="E3" s="4">
        <v>984</v>
      </c>
      <c r="F3" s="89">
        <v>45322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SUBTOTAL(109,Špikis[
Pajamos])</f>
        <v>6731.94</v>
      </c>
      <c r="E4" s="145">
        <f>SUBTOTAL(109,Špikis[ 
Žiūrovai])</f>
        <v>984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464D-48B5-41D2-898F-77A4AF8CC354}">
  <dimension ref="A1:M159"/>
  <sheetViews>
    <sheetView zoomScale="70" zoomScaleNormal="70" workbookViewId="0">
      <selection activeCell="A4" sqref="A4:XFD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307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750</v>
      </c>
      <c r="C3" s="20" t="s">
        <v>751</v>
      </c>
      <c r="D3" s="6">
        <v>6030.11</v>
      </c>
      <c r="E3" s="4">
        <v>1013</v>
      </c>
      <c r="F3" s="89">
        <v>45443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SUBTOTAL(109,Naratyvas[
Pajamos])</f>
        <v>6030.11</v>
      </c>
      <c r="E4" s="145">
        <f>SUBTOTAL(109,Naratyvas[ 
Žiūrovai])</f>
        <v>1013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35F5-C95C-4CDA-88BF-FF694BFEC821}">
  <dimension ref="A1:M181"/>
  <sheetViews>
    <sheetView zoomScale="70" zoomScaleNormal="70" workbookViewId="0">
      <selection activeCell="A5" sqref="A5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11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453</v>
      </c>
      <c r="C3" s="20" t="s">
        <v>453</v>
      </c>
      <c r="D3" s="6">
        <v>4697.3</v>
      </c>
      <c r="E3" s="4">
        <v>3170</v>
      </c>
      <c r="F3" s="89">
        <v>45632</v>
      </c>
      <c r="G3"/>
    </row>
    <row r="4" spans="1:8" ht="26.1" customHeight="1" x14ac:dyDescent="0.2">
      <c r="A4" s="3">
        <v>2</v>
      </c>
      <c r="B4" s="20" t="s">
        <v>454</v>
      </c>
      <c r="C4" s="20" t="s">
        <v>454</v>
      </c>
      <c r="D4" s="6">
        <v>216.51</v>
      </c>
      <c r="E4" s="4">
        <v>174</v>
      </c>
      <c r="F4" s="89">
        <v>45588</v>
      </c>
      <c r="G4"/>
    </row>
    <row r="5" spans="1:8" ht="26.1" customHeight="1" x14ac:dyDescent="0.2">
      <c r="A5" s="116" t="s">
        <v>34</v>
      </c>
      <c r="B5" s="141" t="s">
        <v>33</v>
      </c>
      <c r="C5" s="141"/>
      <c r="D5" s="144">
        <f>SUBTOTAL(109,Artbox[
Pajamos])</f>
        <v>4913.8100000000004</v>
      </c>
      <c r="E5" s="145">
        <f>SUBTOTAL(109,Artbox[ 
Žiūrovai])</f>
        <v>3344</v>
      </c>
      <c r="F5" s="147"/>
      <c r="G5"/>
    </row>
    <row r="6" spans="1:8" ht="26.1" hidden="1" customHeight="1" x14ac:dyDescent="0.2">
      <c r="A6" s="26"/>
      <c r="B6" s="27"/>
      <c r="C6" s="27"/>
      <c r="D6" s="28"/>
      <c r="E6" s="29"/>
      <c r="F6" s="30"/>
      <c r="G6"/>
    </row>
    <row r="7" spans="1:8" ht="26.1" hidden="1" customHeight="1" x14ac:dyDescent="0.2">
      <c r="E7" s="8"/>
      <c r="F7"/>
      <c r="G7"/>
    </row>
    <row r="8" spans="1:8" ht="26.1" hidden="1" customHeight="1" x14ac:dyDescent="0.2">
      <c r="E8" s="25"/>
      <c r="F8"/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5.5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7" ht="26.1" hidden="1" customHeight="1" x14ac:dyDescent="0.2">
      <c r="G145"/>
    </row>
    <row r="146" spans="7:7" ht="26.1" hidden="1" customHeight="1" x14ac:dyDescent="0.2">
      <c r="G146"/>
    </row>
    <row r="147" spans="7:7" ht="26.1" hidden="1" customHeight="1" x14ac:dyDescent="0.2">
      <c r="G147"/>
    </row>
    <row r="148" spans="7:7" ht="26.1" hidden="1" customHeight="1" x14ac:dyDescent="0.2">
      <c r="G148"/>
    </row>
    <row r="149" spans="7:7" ht="26.1" hidden="1" customHeight="1" x14ac:dyDescent="0.2">
      <c r="G149"/>
    </row>
    <row r="150" spans="7:7" ht="26.1" hidden="1" customHeight="1" x14ac:dyDescent="0.2">
      <c r="G150"/>
    </row>
    <row r="151" spans="7:7" ht="26.1" hidden="1" customHeight="1" x14ac:dyDescent="0.2">
      <c r="G151"/>
    </row>
    <row r="152" spans="7:7" ht="26.1" hidden="1" customHeight="1" x14ac:dyDescent="0.2">
      <c r="G152"/>
    </row>
    <row r="153" spans="7:7" ht="26.1" hidden="1" customHeight="1" x14ac:dyDescent="0.2">
      <c r="G153"/>
    </row>
    <row r="154" spans="7:7" ht="26.1" hidden="1" customHeight="1" x14ac:dyDescent="0.2">
      <c r="G154"/>
    </row>
    <row r="155" spans="7:7" ht="26.1" hidden="1" customHeight="1" x14ac:dyDescent="0.2">
      <c r="G155"/>
    </row>
    <row r="156" spans="7:7" ht="26.1" hidden="1" customHeight="1" x14ac:dyDescent="0.2">
      <c r="G156"/>
    </row>
    <row r="157" spans="7:7" ht="26.1" hidden="1" customHeight="1" x14ac:dyDescent="0.2">
      <c r="G157"/>
    </row>
    <row r="158" spans="7:7" ht="26.1" hidden="1" customHeight="1" x14ac:dyDescent="0.2">
      <c r="G158"/>
    </row>
    <row r="159" spans="7:7" ht="26.1" hidden="1" customHeight="1" x14ac:dyDescent="0.2">
      <c r="G159"/>
    </row>
    <row r="160" spans="7:7" ht="26.1" hidden="1" customHeight="1" x14ac:dyDescent="0.2">
      <c r="G160"/>
    </row>
    <row r="161" spans="7:7" ht="26.1" hidden="1" customHeight="1" x14ac:dyDescent="0.2">
      <c r="G161"/>
    </row>
    <row r="162" spans="7:7" ht="26.1" hidden="1" customHeight="1" x14ac:dyDescent="0.2">
      <c r="G162"/>
    </row>
    <row r="163" spans="7:7" ht="26.1" hidden="1" customHeight="1" x14ac:dyDescent="0.2">
      <c r="G163"/>
    </row>
    <row r="164" spans="7:7" ht="26.1" hidden="1" customHeight="1" x14ac:dyDescent="0.2">
      <c r="G164"/>
    </row>
    <row r="165" spans="7:7" ht="26.1" hidden="1" customHeight="1" x14ac:dyDescent="0.2">
      <c r="G165"/>
    </row>
    <row r="166" spans="7:7" ht="26.1" hidden="1" customHeight="1" x14ac:dyDescent="0.2">
      <c r="G166"/>
    </row>
    <row r="167" spans="7:7" ht="26.1" hidden="1" customHeight="1" x14ac:dyDescent="0.2">
      <c r="G167"/>
    </row>
    <row r="168" spans="7:7" ht="26.1" hidden="1" customHeight="1" x14ac:dyDescent="0.2">
      <c r="G168"/>
    </row>
    <row r="169" spans="7:7" ht="26.1" hidden="1" customHeight="1" x14ac:dyDescent="0.2">
      <c r="G169"/>
    </row>
    <row r="170" spans="7:7" ht="26.1" hidden="1" customHeight="1" x14ac:dyDescent="0.2">
      <c r="G170"/>
    </row>
    <row r="171" spans="7:7" ht="26.1" hidden="1" customHeight="1" x14ac:dyDescent="0.2">
      <c r="G171"/>
    </row>
    <row r="172" spans="7:7" ht="26.1" hidden="1" customHeight="1" x14ac:dyDescent="0.2">
      <c r="G172"/>
    </row>
    <row r="173" spans="7:7" ht="26.1" hidden="1" customHeight="1" x14ac:dyDescent="0.2">
      <c r="G173"/>
    </row>
    <row r="174" spans="7:7" ht="26.1" hidden="1" customHeight="1" x14ac:dyDescent="0.2">
      <c r="G174"/>
    </row>
    <row r="175" spans="7:7" ht="26.1" hidden="1" customHeight="1" x14ac:dyDescent="0.2"/>
    <row r="176" spans="7:7" ht="26.1" hidden="1" customHeight="1" x14ac:dyDescent="0.2"/>
    <row r="177" spans="7:8" ht="26.1" hidden="1" customHeight="1" x14ac:dyDescent="0.2">
      <c r="G177" s="25"/>
      <c r="H177" s="24"/>
    </row>
    <row r="178" spans="7:8" ht="26.1" hidden="1" customHeight="1" x14ac:dyDescent="0.2"/>
    <row r="179" spans="7:8" ht="12" hidden="1" x14ac:dyDescent="0.2"/>
    <row r="180" spans="7:8" ht="12" hidden="1" x14ac:dyDescent="0.2"/>
    <row r="181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BA4D-3203-430E-8D9F-659C4C79F206}">
  <dimension ref="A1:M159"/>
  <sheetViews>
    <sheetView zoomScale="70" zoomScaleNormal="70" workbookViewId="0">
      <selection activeCell="B3" sqref="B3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24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62</v>
      </c>
      <c r="C3" s="20" t="s">
        <v>62</v>
      </c>
      <c r="D3" s="6">
        <v>3196</v>
      </c>
      <c r="E3" s="4">
        <v>612</v>
      </c>
      <c r="F3" s="89">
        <v>45259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SUBTOTAL(109,Monoklis[
Pajamos])</f>
        <v>3196</v>
      </c>
      <c r="E4" s="145">
        <f>SUBTOTAL(109,Monoklis[ 
Žiūrovai])</f>
        <v>612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D06D-4DA3-48B8-A0F2-16EEF9102135}">
  <dimension ref="A1:M159"/>
  <sheetViews>
    <sheetView zoomScale="70" zoomScaleNormal="70" workbookViewId="0">
      <selection activeCell="C4" sqref="C4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27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785</v>
      </c>
      <c r="C3" s="20" t="s">
        <v>785</v>
      </c>
      <c r="D3" s="6">
        <v>3176.9</v>
      </c>
      <c r="E3" s="4">
        <v>802</v>
      </c>
      <c r="F3" s="89">
        <v>45387</v>
      </c>
      <c r="G3"/>
    </row>
    <row r="4" spans="1:8" ht="26.1" customHeight="1" x14ac:dyDescent="0.2">
      <c r="A4" s="116" t="s">
        <v>34</v>
      </c>
      <c r="B4" s="141" t="s">
        <v>33</v>
      </c>
      <c r="C4" s="141"/>
      <c r="D4" s="144">
        <f>SUBTOTAL(109,StudioNominum[
Pajamos])</f>
        <v>3176.9</v>
      </c>
      <c r="E4" s="145">
        <f>SUBTOTAL(109,StudioNominum[ 
Žiūrovai])</f>
        <v>802</v>
      </c>
      <c r="F4" s="147"/>
      <c r="G4"/>
    </row>
    <row r="5" spans="1:8" ht="26.1" hidden="1" customHeight="1" x14ac:dyDescent="0.2">
      <c r="A5" s="26"/>
      <c r="B5" s="27"/>
      <c r="C5" s="27"/>
      <c r="D5" s="28"/>
      <c r="E5" s="29"/>
      <c r="F5" s="30"/>
      <c r="G5"/>
    </row>
    <row r="6" spans="1:8" ht="26.1" hidden="1" customHeight="1" x14ac:dyDescent="0.2">
      <c r="E6" s="8"/>
      <c r="F6"/>
      <c r="G6"/>
    </row>
    <row r="7" spans="1:8" ht="26.1" hidden="1" customHeight="1" x14ac:dyDescent="0.2">
      <c r="E7" s="25"/>
      <c r="F7"/>
      <c r="G7"/>
    </row>
    <row r="8" spans="1:8" ht="26.1" hidden="1" customHeight="1" x14ac:dyDescent="0.2"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5.5" hidden="1" customHeight="1" x14ac:dyDescent="0.2">
      <c r="G28"/>
    </row>
    <row r="29" spans="7:7" ht="26.1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/>
    <row r="154" spans="7:8" ht="26.1" hidden="1" customHeight="1" x14ac:dyDescent="0.2"/>
    <row r="155" spans="7:8" ht="26.1" hidden="1" customHeight="1" x14ac:dyDescent="0.2">
      <c r="G155" s="25"/>
      <c r="H155" s="24"/>
    </row>
    <row r="156" spans="7:8" ht="26.1" hidden="1" customHeight="1" x14ac:dyDescent="0.2"/>
    <row r="157" spans="7:8" ht="12" hidden="1" x14ac:dyDescent="0.2"/>
    <row r="158" spans="7:8" ht="12" hidden="1" x14ac:dyDescent="0.2"/>
    <row r="159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C927-0DBA-4DE5-91D2-AA6DB1A7C770}">
  <dimension ref="A1:M160"/>
  <sheetViews>
    <sheetView zoomScale="70" zoomScaleNormal="70" workbookViewId="0">
      <selection activeCell="F5" sqref="F5"/>
    </sheetView>
  </sheetViews>
  <sheetFormatPr defaultColWidth="0" defaultRowHeight="0" customHeight="1" zeroHeight="1" x14ac:dyDescent="0.2"/>
  <cols>
    <col min="1" max="1" width="15.7109375" customWidth="1"/>
    <col min="2" max="3" width="35.5703125" style="21" customWidth="1"/>
    <col min="4" max="4" width="35.5703125" style="22" customWidth="1"/>
    <col min="5" max="5" width="35.5703125" style="23" customWidth="1"/>
    <col min="6" max="6" width="35.5703125" style="7" customWidth="1"/>
    <col min="7" max="7" width="35.5703125" style="8" hidden="1" customWidth="1"/>
    <col min="8" max="8" width="35.5703125" hidden="1" customWidth="1"/>
    <col min="9" max="9" width="0" hidden="1" customWidth="1"/>
    <col min="10" max="10" width="35.5703125" hidden="1" customWidth="1"/>
    <col min="11" max="11" width="0" hidden="1" customWidth="1"/>
    <col min="12" max="12" width="35.5703125" hidden="1" customWidth="1"/>
    <col min="13" max="13" width="0" hidden="1" customWidth="1"/>
    <col min="14" max="16384" width="9.140625" hidden="1"/>
  </cols>
  <sheetData>
    <row r="1" spans="1:8" ht="26.1" customHeight="1" x14ac:dyDescent="0.2">
      <c r="A1" s="167" t="s">
        <v>746</v>
      </c>
      <c r="B1" s="167"/>
      <c r="C1" s="167"/>
      <c r="D1" s="167"/>
      <c r="E1" s="167"/>
      <c r="F1" s="167"/>
      <c r="G1" s="39"/>
      <c r="H1" s="39"/>
    </row>
    <row r="2" spans="1:8" ht="26.1" customHeight="1" x14ac:dyDescent="0.2">
      <c r="A2" s="34" t="s">
        <v>5</v>
      </c>
      <c r="B2" s="34" t="s">
        <v>41</v>
      </c>
      <c r="C2" s="34" t="s">
        <v>75</v>
      </c>
      <c r="D2" s="35" t="s">
        <v>63</v>
      </c>
      <c r="E2" s="36" t="s">
        <v>66</v>
      </c>
      <c r="F2" s="34" t="s">
        <v>42</v>
      </c>
      <c r="G2"/>
    </row>
    <row r="3" spans="1:8" ht="26.1" customHeight="1" x14ac:dyDescent="0.2">
      <c r="A3" s="3">
        <v>1</v>
      </c>
      <c r="B3" s="20" t="s">
        <v>747</v>
      </c>
      <c r="C3" s="20" t="s">
        <v>748</v>
      </c>
      <c r="D3" s="6">
        <v>944</v>
      </c>
      <c r="E3" s="4">
        <v>166</v>
      </c>
      <c r="F3" s="89">
        <v>45387</v>
      </c>
      <c r="G3"/>
    </row>
    <row r="4" spans="1:8" ht="26.1" customHeight="1" x14ac:dyDescent="0.2">
      <c r="A4" s="3">
        <v>2</v>
      </c>
      <c r="B4" s="20" t="s">
        <v>749</v>
      </c>
      <c r="C4" s="20" t="s">
        <v>749</v>
      </c>
      <c r="D4" s="6">
        <v>156.5</v>
      </c>
      <c r="E4" s="4">
        <v>32</v>
      </c>
      <c r="F4" s="89">
        <v>43574</v>
      </c>
      <c r="G4"/>
    </row>
    <row r="5" spans="1:8" ht="26.1" customHeight="1" x14ac:dyDescent="0.2">
      <c r="A5" s="116" t="s">
        <v>34</v>
      </c>
      <c r="B5" s="141" t="s">
        <v>33</v>
      </c>
      <c r="C5" s="141"/>
      <c r="D5" s="144">
        <f>SUBTOTAL(109,MFilms[
Pajamos])</f>
        <v>1100.5</v>
      </c>
      <c r="E5" s="145">
        <f>SUBTOTAL(109,MFilms[ 
Žiūrovai])</f>
        <v>198</v>
      </c>
      <c r="F5" s="147"/>
      <c r="G5"/>
    </row>
    <row r="6" spans="1:8" ht="26.1" hidden="1" customHeight="1" x14ac:dyDescent="0.2">
      <c r="A6" s="26"/>
      <c r="B6" s="27"/>
      <c r="C6" s="27"/>
      <c r="D6" s="28"/>
      <c r="E6" s="29"/>
      <c r="F6" s="30"/>
      <c r="G6"/>
    </row>
    <row r="7" spans="1:8" ht="26.1" hidden="1" customHeight="1" x14ac:dyDescent="0.2">
      <c r="E7" s="8"/>
      <c r="F7"/>
      <c r="G7"/>
    </row>
    <row r="8" spans="1:8" ht="26.1" hidden="1" customHeight="1" x14ac:dyDescent="0.2">
      <c r="E8" s="25"/>
      <c r="F8"/>
      <c r="G8"/>
    </row>
    <row r="9" spans="1:8" ht="26.1" hidden="1" customHeight="1" x14ac:dyDescent="0.2">
      <c r="G9"/>
    </row>
    <row r="10" spans="1:8" ht="26.1" hidden="1" customHeight="1" x14ac:dyDescent="0.2">
      <c r="G10"/>
    </row>
    <row r="11" spans="1:8" ht="26.1" hidden="1" customHeight="1" x14ac:dyDescent="0.2">
      <c r="G11"/>
    </row>
    <row r="12" spans="1:8" ht="26.1" hidden="1" customHeight="1" x14ac:dyDescent="0.2">
      <c r="G12"/>
    </row>
    <row r="13" spans="1:8" ht="26.1" hidden="1" customHeight="1" x14ac:dyDescent="0.2">
      <c r="G13"/>
    </row>
    <row r="14" spans="1:8" ht="26.1" hidden="1" customHeight="1" x14ac:dyDescent="0.2">
      <c r="G14"/>
    </row>
    <row r="15" spans="1:8" ht="26.1" hidden="1" customHeight="1" x14ac:dyDescent="0.2">
      <c r="G15"/>
    </row>
    <row r="16" spans="1:8" ht="26.1" hidden="1" customHeight="1" x14ac:dyDescent="0.2">
      <c r="G16"/>
    </row>
    <row r="17" spans="7:7" ht="26.1" hidden="1" customHeight="1" x14ac:dyDescent="0.2">
      <c r="G17"/>
    </row>
    <row r="18" spans="7:7" ht="26.1" hidden="1" customHeight="1" x14ac:dyDescent="0.2">
      <c r="G18"/>
    </row>
    <row r="19" spans="7:7" ht="26.1" hidden="1" customHeight="1" x14ac:dyDescent="0.2">
      <c r="G19"/>
    </row>
    <row r="20" spans="7:7" ht="26.1" hidden="1" customHeight="1" x14ac:dyDescent="0.2">
      <c r="G20"/>
    </row>
    <row r="21" spans="7:7" ht="26.1" hidden="1" customHeight="1" x14ac:dyDescent="0.2">
      <c r="G21"/>
    </row>
    <row r="22" spans="7:7" ht="26.1" hidden="1" customHeight="1" x14ac:dyDescent="0.2">
      <c r="G22"/>
    </row>
    <row r="23" spans="7:7" ht="26.1" hidden="1" customHeight="1" x14ac:dyDescent="0.2">
      <c r="G23"/>
    </row>
    <row r="24" spans="7:7" ht="26.1" hidden="1" customHeight="1" x14ac:dyDescent="0.2">
      <c r="G24"/>
    </row>
    <row r="25" spans="7:7" ht="26.1" hidden="1" customHeight="1" x14ac:dyDescent="0.2">
      <c r="G25"/>
    </row>
    <row r="26" spans="7:7" ht="26.1" hidden="1" customHeight="1" x14ac:dyDescent="0.2">
      <c r="G26"/>
    </row>
    <row r="27" spans="7:7" ht="26.1" hidden="1" customHeight="1" x14ac:dyDescent="0.2">
      <c r="G27"/>
    </row>
    <row r="28" spans="7:7" ht="26.1" hidden="1" customHeight="1" x14ac:dyDescent="0.2">
      <c r="G28"/>
    </row>
    <row r="29" spans="7:7" ht="25.5" hidden="1" customHeight="1" x14ac:dyDescent="0.2">
      <c r="G29"/>
    </row>
    <row r="30" spans="7:7" ht="26.1" hidden="1" customHeight="1" x14ac:dyDescent="0.2">
      <c r="G30"/>
    </row>
    <row r="31" spans="7:7" ht="26.1" hidden="1" customHeight="1" x14ac:dyDescent="0.2">
      <c r="G31"/>
    </row>
    <row r="32" spans="7:7" ht="26.1" hidden="1" customHeight="1" x14ac:dyDescent="0.2">
      <c r="G32"/>
    </row>
    <row r="33" spans="7:7" ht="26.1" hidden="1" customHeight="1" x14ac:dyDescent="0.2">
      <c r="G33"/>
    </row>
    <row r="34" spans="7:7" ht="26.1" hidden="1" customHeight="1" x14ac:dyDescent="0.2">
      <c r="G34"/>
    </row>
    <row r="35" spans="7:7" ht="26.1" hidden="1" customHeight="1" x14ac:dyDescent="0.2">
      <c r="G35"/>
    </row>
    <row r="36" spans="7:7" ht="26.1" hidden="1" customHeight="1" x14ac:dyDescent="0.2">
      <c r="G36"/>
    </row>
    <row r="37" spans="7:7" ht="26.1" hidden="1" customHeight="1" x14ac:dyDescent="0.2">
      <c r="G37"/>
    </row>
    <row r="38" spans="7:7" ht="26.1" hidden="1" customHeight="1" x14ac:dyDescent="0.2">
      <c r="G38"/>
    </row>
    <row r="39" spans="7:7" ht="26.1" hidden="1" customHeight="1" x14ac:dyDescent="0.2">
      <c r="G39"/>
    </row>
    <row r="40" spans="7:7" ht="26.1" hidden="1" customHeight="1" x14ac:dyDescent="0.2">
      <c r="G40"/>
    </row>
    <row r="41" spans="7:7" ht="26.1" hidden="1" customHeight="1" x14ac:dyDescent="0.2">
      <c r="G41"/>
    </row>
    <row r="42" spans="7:7" ht="26.1" hidden="1" customHeight="1" x14ac:dyDescent="0.2">
      <c r="G42"/>
    </row>
    <row r="43" spans="7:7" ht="26.1" hidden="1" customHeight="1" x14ac:dyDescent="0.2">
      <c r="G43"/>
    </row>
    <row r="44" spans="7:7" ht="26.1" hidden="1" customHeight="1" x14ac:dyDescent="0.2">
      <c r="G44"/>
    </row>
    <row r="45" spans="7:7" ht="26.1" hidden="1" customHeight="1" x14ac:dyDescent="0.2">
      <c r="G45"/>
    </row>
    <row r="46" spans="7:7" ht="26.1" hidden="1" customHeight="1" x14ac:dyDescent="0.2">
      <c r="G46"/>
    </row>
    <row r="47" spans="7:7" ht="26.1" hidden="1" customHeight="1" x14ac:dyDescent="0.2">
      <c r="G47"/>
    </row>
    <row r="48" spans="7:7" ht="26.1" hidden="1" customHeight="1" x14ac:dyDescent="0.2">
      <c r="G48"/>
    </row>
    <row r="49" spans="7:7" ht="26.1" hidden="1" customHeight="1" x14ac:dyDescent="0.2">
      <c r="G49"/>
    </row>
    <row r="50" spans="7:7" ht="26.1" hidden="1" customHeight="1" x14ac:dyDescent="0.2">
      <c r="G50"/>
    </row>
    <row r="51" spans="7:7" ht="26.1" hidden="1" customHeight="1" x14ac:dyDescent="0.2">
      <c r="G51"/>
    </row>
    <row r="52" spans="7:7" ht="26.1" hidden="1" customHeight="1" x14ac:dyDescent="0.2">
      <c r="G52"/>
    </row>
    <row r="53" spans="7:7" ht="26.1" hidden="1" customHeight="1" x14ac:dyDescent="0.2">
      <c r="G53"/>
    </row>
    <row r="54" spans="7:7" ht="26.1" hidden="1" customHeight="1" x14ac:dyDescent="0.2">
      <c r="G54"/>
    </row>
    <row r="55" spans="7:7" ht="26.1" hidden="1" customHeight="1" x14ac:dyDescent="0.2">
      <c r="G55"/>
    </row>
    <row r="56" spans="7:7" ht="26.1" hidden="1" customHeight="1" x14ac:dyDescent="0.2">
      <c r="G56"/>
    </row>
    <row r="57" spans="7:7" ht="26.1" hidden="1" customHeight="1" x14ac:dyDescent="0.2">
      <c r="G57"/>
    </row>
    <row r="58" spans="7:7" ht="26.1" hidden="1" customHeight="1" x14ac:dyDescent="0.2">
      <c r="G58"/>
    </row>
    <row r="59" spans="7:7" ht="26.1" hidden="1" customHeight="1" x14ac:dyDescent="0.2">
      <c r="G59"/>
    </row>
    <row r="60" spans="7:7" ht="26.1" hidden="1" customHeight="1" x14ac:dyDescent="0.2">
      <c r="G60"/>
    </row>
    <row r="61" spans="7:7" ht="26.1" hidden="1" customHeight="1" x14ac:dyDescent="0.2">
      <c r="G61"/>
    </row>
    <row r="62" spans="7:7" ht="26.1" hidden="1" customHeight="1" x14ac:dyDescent="0.2">
      <c r="G62"/>
    </row>
    <row r="63" spans="7:7" ht="26.1" hidden="1" customHeight="1" x14ac:dyDescent="0.2">
      <c r="G63"/>
    </row>
    <row r="64" spans="7:7" ht="26.1" hidden="1" customHeight="1" x14ac:dyDescent="0.2">
      <c r="G64"/>
    </row>
    <row r="65" spans="7:7" ht="26.1" hidden="1" customHeight="1" x14ac:dyDescent="0.2">
      <c r="G65"/>
    </row>
    <row r="66" spans="7:7" ht="26.1" hidden="1" customHeight="1" x14ac:dyDescent="0.2">
      <c r="G66"/>
    </row>
    <row r="67" spans="7:7" ht="26.1" hidden="1" customHeight="1" x14ac:dyDescent="0.2">
      <c r="G67"/>
    </row>
    <row r="68" spans="7:7" ht="26.1" hidden="1" customHeight="1" x14ac:dyDescent="0.2">
      <c r="G68"/>
    </row>
    <row r="69" spans="7:7" ht="26.1" hidden="1" customHeight="1" x14ac:dyDescent="0.2">
      <c r="G69"/>
    </row>
    <row r="70" spans="7:7" ht="26.1" hidden="1" customHeight="1" x14ac:dyDescent="0.2">
      <c r="G70"/>
    </row>
    <row r="71" spans="7:7" ht="26.1" hidden="1" customHeight="1" x14ac:dyDescent="0.2">
      <c r="G71"/>
    </row>
    <row r="72" spans="7:7" ht="26.1" hidden="1" customHeight="1" x14ac:dyDescent="0.2">
      <c r="G72"/>
    </row>
    <row r="73" spans="7:7" ht="26.1" hidden="1" customHeight="1" x14ac:dyDescent="0.2">
      <c r="G73"/>
    </row>
    <row r="74" spans="7:7" ht="26.1" hidden="1" customHeight="1" x14ac:dyDescent="0.2">
      <c r="G74"/>
    </row>
    <row r="75" spans="7:7" ht="26.1" hidden="1" customHeight="1" x14ac:dyDescent="0.2">
      <c r="G75"/>
    </row>
    <row r="76" spans="7:7" ht="26.1" hidden="1" customHeight="1" x14ac:dyDescent="0.2">
      <c r="G76"/>
    </row>
    <row r="77" spans="7:7" ht="26.1" hidden="1" customHeight="1" x14ac:dyDescent="0.2">
      <c r="G77"/>
    </row>
    <row r="78" spans="7:7" ht="26.1" hidden="1" customHeight="1" x14ac:dyDescent="0.2">
      <c r="G78"/>
    </row>
    <row r="79" spans="7:7" ht="26.1" hidden="1" customHeight="1" x14ac:dyDescent="0.2">
      <c r="G79"/>
    </row>
    <row r="80" spans="7:7" ht="26.1" hidden="1" customHeight="1" x14ac:dyDescent="0.2">
      <c r="G80"/>
    </row>
    <row r="81" spans="7:7" ht="26.1" hidden="1" customHeight="1" x14ac:dyDescent="0.2">
      <c r="G81"/>
    </row>
    <row r="82" spans="7:7" ht="26.1" hidden="1" customHeight="1" x14ac:dyDescent="0.2">
      <c r="G82"/>
    </row>
    <row r="83" spans="7:7" ht="26.1" hidden="1" customHeight="1" x14ac:dyDescent="0.2">
      <c r="G83"/>
    </row>
    <row r="84" spans="7:7" ht="26.1" hidden="1" customHeight="1" x14ac:dyDescent="0.2">
      <c r="G84"/>
    </row>
    <row r="85" spans="7:7" ht="26.1" hidden="1" customHeight="1" x14ac:dyDescent="0.2">
      <c r="G85"/>
    </row>
    <row r="86" spans="7:7" ht="26.1" hidden="1" customHeight="1" x14ac:dyDescent="0.2">
      <c r="G86"/>
    </row>
    <row r="87" spans="7:7" ht="26.1" hidden="1" customHeight="1" x14ac:dyDescent="0.2">
      <c r="G87"/>
    </row>
    <row r="88" spans="7:7" ht="26.1" hidden="1" customHeight="1" x14ac:dyDescent="0.2">
      <c r="G88"/>
    </row>
    <row r="89" spans="7:7" ht="26.1" hidden="1" customHeight="1" x14ac:dyDescent="0.2">
      <c r="G89"/>
    </row>
    <row r="90" spans="7:7" ht="26.1" hidden="1" customHeight="1" x14ac:dyDescent="0.2">
      <c r="G90"/>
    </row>
    <row r="91" spans="7:7" ht="26.1" hidden="1" customHeight="1" x14ac:dyDescent="0.2">
      <c r="G91"/>
    </row>
    <row r="92" spans="7:7" ht="26.1" hidden="1" customHeight="1" x14ac:dyDescent="0.2">
      <c r="G92"/>
    </row>
    <row r="93" spans="7:7" ht="26.1" hidden="1" customHeight="1" x14ac:dyDescent="0.2">
      <c r="G93"/>
    </row>
    <row r="94" spans="7:7" ht="26.1" hidden="1" customHeight="1" x14ac:dyDescent="0.2">
      <c r="G94"/>
    </row>
    <row r="95" spans="7:7" ht="26.1" hidden="1" customHeight="1" x14ac:dyDescent="0.2">
      <c r="G95"/>
    </row>
    <row r="96" spans="7:7" ht="26.1" hidden="1" customHeight="1" x14ac:dyDescent="0.2">
      <c r="G96"/>
    </row>
    <row r="97" spans="7:7" ht="26.1" hidden="1" customHeight="1" x14ac:dyDescent="0.2">
      <c r="G97"/>
    </row>
    <row r="98" spans="7:7" ht="26.1" hidden="1" customHeight="1" x14ac:dyDescent="0.2">
      <c r="G98"/>
    </row>
    <row r="99" spans="7:7" ht="26.1" hidden="1" customHeight="1" x14ac:dyDescent="0.2">
      <c r="G99"/>
    </row>
    <row r="100" spans="7:7" ht="26.1" hidden="1" customHeight="1" x14ac:dyDescent="0.2">
      <c r="G100"/>
    </row>
    <row r="101" spans="7:7" ht="26.1" hidden="1" customHeight="1" x14ac:dyDescent="0.2">
      <c r="G101"/>
    </row>
    <row r="102" spans="7:7" ht="26.1" hidden="1" customHeight="1" x14ac:dyDescent="0.2">
      <c r="G102"/>
    </row>
    <row r="103" spans="7:7" ht="26.1" hidden="1" customHeight="1" x14ac:dyDescent="0.2">
      <c r="G103"/>
    </row>
    <row r="104" spans="7:7" ht="26.1" hidden="1" customHeight="1" x14ac:dyDescent="0.2">
      <c r="G104"/>
    </row>
    <row r="105" spans="7:7" ht="26.1" hidden="1" customHeight="1" x14ac:dyDescent="0.2">
      <c r="G105"/>
    </row>
    <row r="106" spans="7:7" ht="26.1" hidden="1" customHeight="1" x14ac:dyDescent="0.2">
      <c r="G106"/>
    </row>
    <row r="107" spans="7:7" ht="26.1" hidden="1" customHeight="1" x14ac:dyDescent="0.2">
      <c r="G107"/>
    </row>
    <row r="108" spans="7:7" ht="26.1" hidden="1" customHeight="1" x14ac:dyDescent="0.2">
      <c r="G108"/>
    </row>
    <row r="109" spans="7:7" ht="26.1" hidden="1" customHeight="1" x14ac:dyDescent="0.2">
      <c r="G109"/>
    </row>
    <row r="110" spans="7:7" ht="26.1" hidden="1" customHeight="1" x14ac:dyDescent="0.2">
      <c r="G110"/>
    </row>
    <row r="111" spans="7:7" ht="26.1" hidden="1" customHeight="1" x14ac:dyDescent="0.2">
      <c r="G111"/>
    </row>
    <row r="112" spans="7:7" ht="26.1" hidden="1" customHeight="1" x14ac:dyDescent="0.2">
      <c r="G112"/>
    </row>
    <row r="113" spans="7:7" ht="26.1" hidden="1" customHeight="1" x14ac:dyDescent="0.2">
      <c r="G113"/>
    </row>
    <row r="114" spans="7:7" ht="26.1" hidden="1" customHeight="1" x14ac:dyDescent="0.2">
      <c r="G114"/>
    </row>
    <row r="115" spans="7:7" ht="26.1" hidden="1" customHeight="1" x14ac:dyDescent="0.2">
      <c r="G115"/>
    </row>
    <row r="116" spans="7:7" ht="26.1" hidden="1" customHeight="1" x14ac:dyDescent="0.2">
      <c r="G116"/>
    </row>
    <row r="117" spans="7:7" ht="26.1" hidden="1" customHeight="1" x14ac:dyDescent="0.2">
      <c r="G117"/>
    </row>
    <row r="118" spans="7:7" ht="26.1" hidden="1" customHeight="1" x14ac:dyDescent="0.2">
      <c r="G118"/>
    </row>
    <row r="119" spans="7:7" ht="26.1" hidden="1" customHeight="1" x14ac:dyDescent="0.2">
      <c r="G119"/>
    </row>
    <row r="120" spans="7:7" ht="26.1" hidden="1" customHeight="1" x14ac:dyDescent="0.2">
      <c r="G120"/>
    </row>
    <row r="121" spans="7:7" ht="26.1" hidden="1" customHeight="1" x14ac:dyDescent="0.2">
      <c r="G121"/>
    </row>
    <row r="122" spans="7:7" ht="26.1" hidden="1" customHeight="1" x14ac:dyDescent="0.2">
      <c r="G122"/>
    </row>
    <row r="123" spans="7:7" ht="26.1" hidden="1" customHeight="1" x14ac:dyDescent="0.2">
      <c r="G123"/>
    </row>
    <row r="124" spans="7:7" ht="26.1" hidden="1" customHeight="1" x14ac:dyDescent="0.2">
      <c r="G124"/>
    </row>
    <row r="125" spans="7:7" ht="26.1" hidden="1" customHeight="1" x14ac:dyDescent="0.2">
      <c r="G125"/>
    </row>
    <row r="126" spans="7:7" ht="26.1" hidden="1" customHeight="1" x14ac:dyDescent="0.2">
      <c r="G126"/>
    </row>
    <row r="127" spans="7:7" ht="26.1" hidden="1" customHeight="1" x14ac:dyDescent="0.2">
      <c r="G127"/>
    </row>
    <row r="128" spans="7:7" ht="26.1" hidden="1" customHeight="1" x14ac:dyDescent="0.2">
      <c r="G128"/>
    </row>
    <row r="129" spans="7:7" ht="26.1" hidden="1" customHeight="1" x14ac:dyDescent="0.2">
      <c r="G129"/>
    </row>
    <row r="130" spans="7:7" ht="26.1" hidden="1" customHeight="1" x14ac:dyDescent="0.2">
      <c r="G130"/>
    </row>
    <row r="131" spans="7:7" ht="26.1" hidden="1" customHeight="1" x14ac:dyDescent="0.2">
      <c r="G131"/>
    </row>
    <row r="132" spans="7:7" ht="26.1" hidden="1" customHeight="1" x14ac:dyDescent="0.2">
      <c r="G132"/>
    </row>
    <row r="133" spans="7:7" ht="26.1" hidden="1" customHeight="1" x14ac:dyDescent="0.2">
      <c r="G133"/>
    </row>
    <row r="134" spans="7:7" ht="26.1" hidden="1" customHeight="1" x14ac:dyDescent="0.2">
      <c r="G134"/>
    </row>
    <row r="135" spans="7:7" ht="26.1" hidden="1" customHeight="1" x14ac:dyDescent="0.2">
      <c r="G135"/>
    </row>
    <row r="136" spans="7:7" ht="26.1" hidden="1" customHeight="1" x14ac:dyDescent="0.2">
      <c r="G136"/>
    </row>
    <row r="137" spans="7:7" ht="26.1" hidden="1" customHeight="1" x14ac:dyDescent="0.2">
      <c r="G137"/>
    </row>
    <row r="138" spans="7:7" ht="26.1" hidden="1" customHeight="1" x14ac:dyDescent="0.2">
      <c r="G138"/>
    </row>
    <row r="139" spans="7:7" ht="26.1" hidden="1" customHeight="1" x14ac:dyDescent="0.2">
      <c r="G139"/>
    </row>
    <row r="140" spans="7:7" ht="26.1" hidden="1" customHeight="1" x14ac:dyDescent="0.2">
      <c r="G140"/>
    </row>
    <row r="141" spans="7:7" ht="26.1" hidden="1" customHeight="1" x14ac:dyDescent="0.2">
      <c r="G141"/>
    </row>
    <row r="142" spans="7:7" ht="26.1" hidden="1" customHeight="1" x14ac:dyDescent="0.2">
      <c r="G142"/>
    </row>
    <row r="143" spans="7:7" ht="26.1" hidden="1" customHeight="1" x14ac:dyDescent="0.2">
      <c r="G143"/>
    </row>
    <row r="144" spans="7:7" ht="26.1" hidden="1" customHeight="1" x14ac:dyDescent="0.2">
      <c r="G144"/>
    </row>
    <row r="145" spans="7:8" ht="26.1" hidden="1" customHeight="1" x14ac:dyDescent="0.2">
      <c r="G145"/>
    </row>
    <row r="146" spans="7:8" ht="26.1" hidden="1" customHeight="1" x14ac:dyDescent="0.2">
      <c r="G146"/>
    </row>
    <row r="147" spans="7:8" ht="26.1" hidden="1" customHeight="1" x14ac:dyDescent="0.2">
      <c r="G147"/>
    </row>
    <row r="148" spans="7:8" ht="26.1" hidden="1" customHeight="1" x14ac:dyDescent="0.2">
      <c r="G148"/>
    </row>
    <row r="149" spans="7:8" ht="26.1" hidden="1" customHeight="1" x14ac:dyDescent="0.2">
      <c r="G149"/>
    </row>
    <row r="150" spans="7:8" ht="26.1" hidden="1" customHeight="1" x14ac:dyDescent="0.2">
      <c r="G150"/>
    </row>
    <row r="151" spans="7:8" ht="26.1" hidden="1" customHeight="1" x14ac:dyDescent="0.2">
      <c r="G151"/>
    </row>
    <row r="152" spans="7:8" ht="26.1" hidden="1" customHeight="1" x14ac:dyDescent="0.2">
      <c r="G152"/>
    </row>
    <row r="153" spans="7:8" ht="26.1" hidden="1" customHeight="1" x14ac:dyDescent="0.2">
      <c r="G153"/>
    </row>
    <row r="154" spans="7:8" ht="26.1" hidden="1" customHeight="1" x14ac:dyDescent="0.2"/>
    <row r="155" spans="7:8" ht="26.1" hidden="1" customHeight="1" x14ac:dyDescent="0.2"/>
    <row r="156" spans="7:8" ht="26.1" hidden="1" customHeight="1" x14ac:dyDescent="0.2">
      <c r="G156" s="25"/>
      <c r="H156" s="24"/>
    </row>
    <row r="157" spans="7:8" ht="26.1" hidden="1" customHeight="1" x14ac:dyDescent="0.2"/>
    <row r="158" spans="7:8" ht="12" hidden="1" x14ac:dyDescent="0.2"/>
    <row r="159" spans="7:8" ht="12" hidden="1" x14ac:dyDescent="0.2"/>
    <row r="160" spans="7:8" ht="12" hidden="1" x14ac:dyDescent="0.2"/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14B09C-3D7E-449D-9521-534CFEE11D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05604-D10E-455D-9BCE-AB7B9EE73A9B}"/>
</file>

<file path=customXml/itemProps3.xml><?xml version="1.0" encoding="utf-8"?>
<ds:datastoreItem xmlns:ds="http://schemas.openxmlformats.org/officeDocument/2006/customXml" ds:itemID="{E8F5B456-997D-438B-A323-877B3071E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2024 Platintojų pasiskirstymas </vt:lpstr>
      <vt:lpstr>ACME Film</vt:lpstr>
      <vt:lpstr>Dukine Film Distribution</vt:lpstr>
      <vt:lpstr>Theatrical Film Distribution</vt:lpstr>
      <vt:lpstr> Vabalo filmai</vt:lpstr>
      <vt:lpstr> Valujavičiaus kelionės</vt:lpstr>
      <vt:lpstr>Cinema Ads</vt:lpstr>
      <vt:lpstr>Adastra Cinema</vt:lpstr>
      <vt:lpstr>Garsų pasaulio įrašai</vt:lpstr>
      <vt:lpstr>Europos kinas</vt:lpstr>
      <vt:lpstr>Po mokyklos</vt:lpstr>
      <vt:lpstr>A-One Films</vt:lpstr>
      <vt:lpstr>Best Film</vt:lpstr>
      <vt:lpstr>Travolta</vt:lpstr>
      <vt:lpstr>All screens</vt:lpstr>
      <vt:lpstr>Baltic Content Media</vt:lpstr>
      <vt:lpstr>Estinfilm</vt:lpstr>
      <vt:lpstr>Skalvijos kino centras</vt:lpstr>
      <vt:lpstr>Unlimited Media OÜ</vt:lpstr>
      <vt:lpstr>Kino pasaka</vt:lpstr>
      <vt:lpstr>Maobori company</vt:lpstr>
      <vt:lpstr>KC Garsas</vt:lpstr>
      <vt:lpstr>Greta Garbo Films</vt:lpstr>
      <vt:lpstr>Taip toliau</vt:lpstr>
      <vt:lpstr>Zerocopy</vt:lpstr>
      <vt:lpstr>Broom Films</vt:lpstr>
      <vt:lpstr>Mental machinery</vt:lpstr>
      <vt:lpstr>Špikis</vt:lpstr>
      <vt:lpstr>Naratyvas</vt:lpstr>
      <vt:lpstr>Artbox</vt:lpstr>
      <vt:lpstr>Monoklis</vt:lpstr>
      <vt:lpstr>Studio Nominum</vt:lpstr>
      <vt:lpstr>M-films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Jucytė</dc:creator>
  <cp:lastModifiedBy>Austė Jucytė</cp:lastModifiedBy>
  <dcterms:created xsi:type="dcterms:W3CDTF">2024-01-11T13:06:35Z</dcterms:created>
  <dcterms:modified xsi:type="dcterms:W3CDTF">2025-01-27T11:23:05Z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